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rofessional\Downloads\"/>
    </mc:Choice>
  </mc:AlternateContent>
  <xr:revisionPtr revIDLastSave="0" documentId="13_ncr:1_{CAB3F048-818E-442B-BA98-5D7EC3980900}" xr6:coauthVersionLast="47" xr6:coauthVersionMax="47" xr10:uidLastSave="{00000000-0000-0000-0000-000000000000}"/>
  <bookViews>
    <workbookView xWindow="-108" yWindow="-108" windowWidth="23256" windowHeight="12576" tabRatio="718" activeTab="1" xr2:uid="{00000000-000D-0000-FFFF-FFFF00000000}"/>
  </bookViews>
  <sheets>
    <sheet name="Лист 1" sheetId="5" r:id="rId1"/>
    <sheet name="школа" sheetId="11" r:id="rId2"/>
  </sheets>
  <definedNames>
    <definedName name="_xlnm.Print_Titles" localSheetId="1">школа!$3:$10</definedName>
    <definedName name="_xlnm.Print_Area" localSheetId="0">'Лист 1'!$A$1:$G$36</definedName>
    <definedName name="_xlnm.Print_Area" localSheetId="1">школа!$A$1:$CM$107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1" l="1"/>
  <c r="H88" i="11"/>
  <c r="G88" i="11"/>
  <c r="H20" i="11" l="1"/>
  <c r="G20" i="11"/>
  <c r="F20" i="11"/>
  <c r="E20" i="11"/>
  <c r="H48" i="11"/>
  <c r="H34" i="11"/>
  <c r="G34" i="11"/>
  <c r="H53" i="11"/>
  <c r="G53" i="11"/>
  <c r="G48" i="11"/>
  <c r="H41" i="11"/>
  <c r="G41" i="11"/>
  <c r="H25" i="11"/>
  <c r="F25" i="11"/>
  <c r="H24" i="11"/>
  <c r="F24" i="11"/>
  <c r="G61" i="11"/>
  <c r="G60" i="11"/>
  <c r="H46" i="11"/>
  <c r="G46" i="11"/>
  <c r="H40" i="11"/>
  <c r="G40" i="11"/>
  <c r="H22" i="11"/>
  <c r="H17" i="11"/>
  <c r="G17" i="11"/>
  <c r="H47" i="11" l="1"/>
  <c r="G47" i="11"/>
  <c r="F41" i="11"/>
  <c r="F40" i="11"/>
  <c r="F34" i="11"/>
  <c r="E34" i="11"/>
  <c r="F17" i="11"/>
  <c r="E17" i="11"/>
  <c r="F22" i="11"/>
  <c r="E41" i="11"/>
  <c r="E40" i="11"/>
  <c r="H85" i="11"/>
  <c r="G85" i="11"/>
  <c r="H90" i="11"/>
  <c r="G90" i="11"/>
  <c r="H104" i="11"/>
  <c r="G104" i="11"/>
  <c r="G28" i="5"/>
  <c r="D53" i="11"/>
  <c r="D57" i="11"/>
  <c r="F53" i="11"/>
  <c r="F57" i="11"/>
  <c r="H57" i="11"/>
  <c r="D46" i="11"/>
  <c r="D48" i="11"/>
  <c r="F48" i="11"/>
  <c r="F46" i="11"/>
  <c r="E46" i="11"/>
  <c r="E48" i="11"/>
  <c r="E47" i="11"/>
  <c r="F61" i="11" l="1"/>
  <c r="F60" i="11"/>
  <c r="F47" i="11"/>
  <c r="U61" i="11" l="1"/>
  <c r="S61" i="11"/>
  <c r="S60" i="11"/>
  <c r="T60" i="11" s="1"/>
  <c r="U60" i="11" s="1"/>
  <c r="S57" i="11"/>
  <c r="U57" i="11" s="1"/>
  <c r="S56" i="11"/>
  <c r="T56" i="11" s="1"/>
  <c r="U56" i="11" s="1"/>
  <c r="M46" i="11"/>
  <c r="R46" i="11"/>
  <c r="U47" i="11" l="1"/>
  <c r="U48" i="11"/>
  <c r="U46" i="11"/>
  <c r="R47" i="11"/>
  <c r="R48" i="11"/>
  <c r="U50" i="11" l="1"/>
  <c r="G19" i="5" l="1"/>
  <c r="H16" i="11"/>
  <c r="F16" i="11"/>
  <c r="F85" i="11"/>
  <c r="E85" i="11"/>
  <c r="F88" i="11"/>
  <c r="F90" i="11"/>
  <c r="F104" i="11"/>
  <c r="H86" i="11"/>
  <c r="F86" i="11"/>
  <c r="F50" i="11" l="1"/>
  <c r="H26" i="11" l="1"/>
  <c r="F26" i="11"/>
  <c r="H80" i="11"/>
  <c r="G54" i="11"/>
  <c r="E31" i="11"/>
  <c r="G31" i="11"/>
  <c r="F80" i="11" l="1"/>
  <c r="H37" i="11" l="1"/>
  <c r="F37" i="11"/>
  <c r="F98" i="11"/>
  <c r="G15" i="11" l="1"/>
  <c r="E15" i="11"/>
  <c r="F29" i="11"/>
  <c r="F19" i="11"/>
  <c r="H19" i="11" l="1"/>
  <c r="H94" i="11"/>
  <c r="F94" i="11"/>
  <c r="H75" i="11"/>
  <c r="F75" i="11"/>
  <c r="H78" i="11"/>
  <c r="G42" i="11"/>
  <c r="F78" i="11"/>
  <c r="I48" i="11" l="1"/>
  <c r="F102" i="11" l="1"/>
  <c r="H29" i="11"/>
  <c r="E49" i="11" l="1"/>
  <c r="E28" i="11" l="1"/>
  <c r="E12" i="11" s="1"/>
  <c r="G28" i="11"/>
  <c r="J104" i="11"/>
  <c r="I104" i="11"/>
  <c r="F25" i="5" l="1"/>
  <c r="F16" i="5"/>
  <c r="G27" i="5"/>
  <c r="G29" i="5"/>
  <c r="G30" i="5"/>
  <c r="G20" i="5"/>
  <c r="G21" i="5"/>
  <c r="G18" i="5"/>
  <c r="J102" i="11"/>
  <c r="J103" i="11" s="1"/>
  <c r="G103" i="11"/>
  <c r="E103" i="11"/>
  <c r="G16" i="5" l="1"/>
  <c r="G25" i="5"/>
  <c r="G36" i="5" s="1"/>
  <c r="F36" i="5"/>
  <c r="D103" i="11"/>
  <c r="F103" i="11" l="1"/>
  <c r="I102" i="11"/>
  <c r="I103" i="11" s="1"/>
  <c r="H103" i="11" l="1"/>
  <c r="I46" i="11" l="1"/>
  <c r="I40" i="11"/>
  <c r="I14" i="11"/>
  <c r="I37" i="11"/>
  <c r="H105" i="11"/>
  <c r="H101" i="11"/>
  <c r="H99" i="11"/>
  <c r="H93" i="11"/>
  <c r="H91" i="11"/>
  <c r="H89" i="11"/>
  <c r="H87" i="11"/>
  <c r="H81" i="11"/>
  <c r="H79" i="11"/>
  <c r="H76" i="11"/>
  <c r="H73" i="11"/>
  <c r="H74" i="11" s="1"/>
  <c r="H71" i="11"/>
  <c r="H70" i="11"/>
  <c r="H69" i="11"/>
  <c r="H67" i="11"/>
  <c r="H68" i="11" s="1"/>
  <c r="H65" i="11"/>
  <c r="H66" i="11" s="1"/>
  <c r="H64" i="11"/>
  <c r="H61" i="11"/>
  <c r="H60" i="11"/>
  <c r="I53" i="11"/>
  <c r="H49" i="11"/>
  <c r="H45" i="11"/>
  <c r="H44" i="11" s="1"/>
  <c r="H43" i="11"/>
  <c r="H42" i="11"/>
  <c r="I34" i="11"/>
  <c r="I29" i="11"/>
  <c r="I26" i="11"/>
  <c r="I24" i="11"/>
  <c r="I22" i="11"/>
  <c r="I20" i="11"/>
  <c r="I18" i="11"/>
  <c r="H15" i="11"/>
  <c r="I105" i="11"/>
  <c r="G105" i="11"/>
  <c r="G101" i="11"/>
  <c r="G99" i="11"/>
  <c r="G97" i="11"/>
  <c r="G93" i="11"/>
  <c r="G91" i="11"/>
  <c r="G89" i="11"/>
  <c r="G87" i="11"/>
  <c r="G84" i="11"/>
  <c r="G81" i="11"/>
  <c r="G79" i="11"/>
  <c r="G77" i="11"/>
  <c r="G74" i="11"/>
  <c r="G72" i="11"/>
  <c r="G68" i="11"/>
  <c r="G66" i="11"/>
  <c r="G64" i="11"/>
  <c r="G62" i="11"/>
  <c r="G52" i="11"/>
  <c r="G49" i="11"/>
  <c r="G45" i="11"/>
  <c r="G44" i="11" s="1"/>
  <c r="E105" i="11"/>
  <c r="J105" i="11"/>
  <c r="D105" i="11"/>
  <c r="F105" i="11"/>
  <c r="I96" i="11"/>
  <c r="I95" i="11"/>
  <c r="I94" i="11"/>
  <c r="I92" i="11"/>
  <c r="I93" i="11" s="1"/>
  <c r="I90" i="11"/>
  <c r="I91" i="11" s="1"/>
  <c r="I88" i="11"/>
  <c r="I89" i="11" s="1"/>
  <c r="I86" i="11"/>
  <c r="I85" i="11"/>
  <c r="I83" i="11"/>
  <c r="I82" i="11"/>
  <c r="I75" i="11"/>
  <c r="F71" i="11"/>
  <c r="F70" i="11"/>
  <c r="F69" i="11"/>
  <c r="F65" i="11"/>
  <c r="I63" i="11"/>
  <c r="I64" i="11" s="1"/>
  <c r="I58" i="11"/>
  <c r="I57" i="11"/>
  <c r="I50" i="11"/>
  <c r="I47" i="11"/>
  <c r="I41" i="11"/>
  <c r="I38" i="11"/>
  <c r="I35" i="11"/>
  <c r="I30" i="11"/>
  <c r="I27" i="11"/>
  <c r="I25" i="11"/>
  <c r="I23" i="11"/>
  <c r="I21" i="11"/>
  <c r="I19" i="11"/>
  <c r="I17" i="11"/>
  <c r="H62" i="11" l="1"/>
  <c r="I65" i="11"/>
  <c r="I66" i="11" s="1"/>
  <c r="I70" i="11"/>
  <c r="I60" i="11"/>
  <c r="I69" i="11"/>
  <c r="I71" i="11"/>
  <c r="I80" i="11"/>
  <c r="I81" i="11" s="1"/>
  <c r="I61" i="11"/>
  <c r="I84" i="11"/>
  <c r="I87" i="11"/>
  <c r="G59" i="11"/>
  <c r="H31" i="11"/>
  <c r="H28" i="11" s="1"/>
  <c r="H12" i="11" s="1"/>
  <c r="H39" i="11" s="1"/>
  <c r="H97" i="11"/>
  <c r="I16" i="11"/>
  <c r="I15" i="11" s="1"/>
  <c r="I45" i="11"/>
  <c r="I44" i="11" s="1"/>
  <c r="H54" i="11"/>
  <c r="H52" i="11" s="1"/>
  <c r="H59" i="11" s="1"/>
  <c r="H72" i="11"/>
  <c r="H77" i="11"/>
  <c r="H84" i="11"/>
  <c r="I42" i="11"/>
  <c r="I100" i="11"/>
  <c r="I101" i="11" s="1"/>
  <c r="G12" i="11"/>
  <c r="G39" i="11" s="1"/>
  <c r="I97" i="11"/>
  <c r="I72" i="11"/>
  <c r="I78" i="11"/>
  <c r="I79" i="11" s="1"/>
  <c r="I62" i="11" l="1"/>
  <c r="G106" i="11"/>
  <c r="G107" i="11" s="1"/>
  <c r="H106" i="11"/>
  <c r="H107" i="11" s="1"/>
  <c r="D84" i="11"/>
  <c r="J82" i="11" l="1"/>
  <c r="D99" i="11" l="1"/>
  <c r="E99" i="11"/>
  <c r="D77" i="11"/>
  <c r="F76" i="11"/>
  <c r="I76" i="11" s="1"/>
  <c r="I77" i="11" s="1"/>
  <c r="I98" i="11" l="1"/>
  <c r="I99" i="11" s="1"/>
  <c r="J76" i="11"/>
  <c r="F99" i="11" l="1"/>
  <c r="J98" i="11"/>
  <c r="J99" i="11" s="1"/>
  <c r="D42" i="11" l="1"/>
  <c r="D97" i="11" l="1"/>
  <c r="D72" i="11" l="1"/>
  <c r="E42" i="11" l="1"/>
  <c r="J94" i="11"/>
  <c r="J30" i="11"/>
  <c r="J71" i="11"/>
  <c r="E79" i="11" l="1"/>
  <c r="D79" i="11"/>
  <c r="J78" i="11" l="1"/>
  <c r="J79" i="11" s="1"/>
  <c r="F79" i="11"/>
  <c r="I13" i="11" l="1"/>
  <c r="J95" i="11" l="1"/>
  <c r="J57" i="11" l="1"/>
  <c r="D87" i="11" l="1"/>
  <c r="J86" i="11" l="1"/>
  <c r="D74" i="11" l="1"/>
  <c r="E74" i="11"/>
  <c r="D62" i="11"/>
  <c r="J60" i="11" l="1"/>
  <c r="F73" i="11"/>
  <c r="I73" i="11" s="1"/>
  <c r="I74" i="11" s="1"/>
  <c r="F74" i="11" l="1"/>
  <c r="J73" i="11"/>
  <c r="J74" i="11" s="1"/>
  <c r="D64" i="11" l="1"/>
  <c r="F67" i="11" l="1"/>
  <c r="I67" i="11" s="1"/>
  <c r="I68" i="11" s="1"/>
  <c r="I56" i="11"/>
  <c r="I55" i="11"/>
  <c r="I51" i="11"/>
  <c r="I49" i="11" s="1"/>
  <c r="I32" i="11"/>
  <c r="I54" i="11" l="1"/>
  <c r="I52" i="11" s="1"/>
  <c r="I59" i="11" s="1"/>
  <c r="J67" i="11" l="1"/>
  <c r="J68" i="11" s="1"/>
  <c r="J56" i="11"/>
  <c r="J55" i="11"/>
  <c r="J51" i="11"/>
  <c r="D93" i="11"/>
  <c r="D101" i="11"/>
  <c r="D91" i="11"/>
  <c r="D89" i="11"/>
  <c r="D81" i="11"/>
  <c r="F68" i="11"/>
  <c r="E68" i="11"/>
  <c r="D68" i="11"/>
  <c r="D66" i="11"/>
  <c r="D52" i="11"/>
  <c r="D49" i="11"/>
  <c r="D45" i="11"/>
  <c r="J32" i="11"/>
  <c r="J22" i="11"/>
  <c r="J14" i="11"/>
  <c r="J13" i="11"/>
  <c r="D15" i="11"/>
  <c r="D44" i="11" l="1"/>
  <c r="D59" i="11" s="1"/>
  <c r="I33" i="11" l="1"/>
  <c r="F43" i="11"/>
  <c r="F84" i="11" l="1"/>
  <c r="J21" i="11"/>
  <c r="J29" i="11"/>
  <c r="J20" i="11"/>
  <c r="J19" i="11"/>
  <c r="J53" i="11"/>
  <c r="F97" i="11"/>
  <c r="E81" i="11"/>
  <c r="E101" i="11"/>
  <c r="E97" i="11"/>
  <c r="E72" i="11"/>
  <c r="F72" i="11"/>
  <c r="J17" i="11"/>
  <c r="E54" i="11"/>
  <c r="E64" i="11"/>
  <c r="J27" i="11"/>
  <c r="J38" i="11"/>
  <c r="E93" i="11"/>
  <c r="E62" i="11"/>
  <c r="I36" i="11"/>
  <c r="I31" i="11" s="1"/>
  <c r="I28" i="11" s="1"/>
  <c r="I12" i="11" s="1"/>
  <c r="I39" i="11" s="1"/>
  <c r="I106" i="11" s="1"/>
  <c r="I107" i="11" s="1"/>
  <c r="E91" i="11"/>
  <c r="E84" i="11" l="1"/>
  <c r="F77" i="11"/>
  <c r="E77" i="11"/>
  <c r="J83" i="11"/>
  <c r="J84" i="11" s="1"/>
  <c r="F101" i="11"/>
  <c r="J100" i="11"/>
  <c r="J101" i="11" s="1"/>
  <c r="F81" i="11"/>
  <c r="J80" i="11"/>
  <c r="J81" i="11" s="1"/>
  <c r="J33" i="11"/>
  <c r="J35" i="11"/>
  <c r="F42" i="11"/>
  <c r="F64" i="11"/>
  <c r="J63" i="11"/>
  <c r="E66" i="11"/>
  <c r="J18" i="11"/>
  <c r="J47" i="11"/>
  <c r="F45" i="11"/>
  <c r="E52" i="11"/>
  <c r="F62" i="11"/>
  <c r="J61" i="11"/>
  <c r="J92" i="11"/>
  <c r="J93" i="11" s="1"/>
  <c r="F93" i="11"/>
  <c r="J85" i="11"/>
  <c r="E87" i="11"/>
  <c r="J25" i="11"/>
  <c r="J58" i="11"/>
  <c r="J54" i="11" s="1"/>
  <c r="J52" i="11" s="1"/>
  <c r="F54" i="11"/>
  <c r="F52" i="11" s="1"/>
  <c r="E89" i="11"/>
  <c r="J96" i="11"/>
  <c r="J97" i="11" s="1"/>
  <c r="J48" i="11"/>
  <c r="J70" i="11"/>
  <c r="J90" i="11"/>
  <c r="J91" i="11" s="1"/>
  <c r="F91" i="11"/>
  <c r="E45" i="11"/>
  <c r="J46" i="11"/>
  <c r="F49" i="11"/>
  <c r="J50" i="11"/>
  <c r="J49" i="11" s="1"/>
  <c r="J16" i="11"/>
  <c r="J41" i="11"/>
  <c r="J45" i="11" l="1"/>
  <c r="J44" i="11" s="1"/>
  <c r="J15" i="11"/>
  <c r="J36" i="11"/>
  <c r="J23" i="11"/>
  <c r="F31" i="11"/>
  <c r="F28" i="11" s="1"/>
  <c r="J72" i="11"/>
  <c r="J64" i="11"/>
  <c r="E44" i="11"/>
  <c r="E59" i="11" s="1"/>
  <c r="J65" i="11"/>
  <c r="J66" i="11" s="1"/>
  <c r="F66" i="11"/>
  <c r="F15" i="11"/>
  <c r="J75" i="11"/>
  <c r="J77" i="11" s="1"/>
  <c r="J26" i="11"/>
  <c r="J87" i="11"/>
  <c r="J62" i="11"/>
  <c r="F87" i="11"/>
  <c r="E39" i="11"/>
  <c r="J88" i="11"/>
  <c r="J89" i="11" s="1"/>
  <c r="F89" i="11"/>
  <c r="F44" i="11"/>
  <c r="F59" i="11" s="1"/>
  <c r="J40" i="11"/>
  <c r="E106" i="11" l="1"/>
  <c r="J42" i="11"/>
  <c r="F12" i="11"/>
  <c r="F39" i="11" s="1"/>
  <c r="F106" i="11" s="1"/>
  <c r="J59" i="11"/>
  <c r="J24" i="11" l="1"/>
  <c r="E107" i="11"/>
  <c r="F107" i="11" l="1"/>
  <c r="J34" i="11" l="1"/>
  <c r="J37" i="11"/>
  <c r="J31" i="11" l="1"/>
  <c r="J28" i="11" s="1"/>
  <c r="D28" i="11"/>
  <c r="D12" i="11" l="1"/>
  <c r="D39" i="11" s="1"/>
  <c r="D106" i="11" s="1"/>
  <c r="J12" i="11"/>
  <c r="J39" i="11" s="1"/>
  <c r="J106" i="11" s="1"/>
  <c r="D107" i="11" l="1"/>
  <c r="J107" i="11"/>
</calcChain>
</file>

<file path=xl/sharedStrings.xml><?xml version="1.0" encoding="utf-8"?>
<sst xmlns="http://schemas.openxmlformats.org/spreadsheetml/2006/main" count="309" uniqueCount="238">
  <si>
    <t xml:space="preserve"> Наименование показателя</t>
  </si>
  <si>
    <t>Код</t>
  </si>
  <si>
    <t>стро-</t>
  </si>
  <si>
    <t>Исполнено</t>
  </si>
  <si>
    <t>ки</t>
  </si>
  <si>
    <t>4</t>
  </si>
  <si>
    <t>5</t>
  </si>
  <si>
    <t>6</t>
  </si>
  <si>
    <t>в том числе:</t>
  </si>
  <si>
    <t xml:space="preserve">Код </t>
  </si>
  <si>
    <t>Бюджетные ассиг-</t>
  </si>
  <si>
    <t xml:space="preserve">расхода </t>
  </si>
  <si>
    <t>нования, утверж-</t>
  </si>
  <si>
    <t xml:space="preserve">по ФКР, </t>
  </si>
  <si>
    <t>денные законом о</t>
  </si>
  <si>
    <t>по</t>
  </si>
  <si>
    <t>КЦСР,</t>
  </si>
  <si>
    <t>бюджете, норма-</t>
  </si>
  <si>
    <t>бюджетных</t>
  </si>
  <si>
    <t>лимитам</t>
  </si>
  <si>
    <t>КВР,</t>
  </si>
  <si>
    <t>тивными право-</t>
  </si>
  <si>
    <t>обязательств</t>
  </si>
  <si>
    <t>ЭКР</t>
  </si>
  <si>
    <t>выми актами о</t>
  </si>
  <si>
    <t>бюджете</t>
  </si>
  <si>
    <t>7</t>
  </si>
  <si>
    <t>8</t>
  </si>
  <si>
    <t>Расходы бюджета - всего</t>
  </si>
  <si>
    <t>Результат исполнения бюджета (дефицит "--", профицит "+")</t>
  </si>
  <si>
    <t>Услуги связи</t>
  </si>
  <si>
    <t>Транспортные услуги</t>
  </si>
  <si>
    <t>Коммунальные услуги</t>
  </si>
  <si>
    <t>Прочие услуги</t>
  </si>
  <si>
    <t>Поступление нефинан,актив.</t>
  </si>
  <si>
    <t>Увеличение ст-сти матер.ак</t>
  </si>
  <si>
    <t>Итого</t>
  </si>
  <si>
    <t>Работы, услуги по содерж. имущества</t>
  </si>
  <si>
    <t>Увеличение ст-сти основных средств</t>
  </si>
  <si>
    <t>Наименование показателя</t>
  </si>
  <si>
    <t>Месячный отчет об исполнении бюджета</t>
  </si>
  <si>
    <t>КОДЫ</t>
  </si>
  <si>
    <t>Форма по ОКУД</t>
  </si>
  <si>
    <t>Дата</t>
  </si>
  <si>
    <t xml:space="preserve">Наименование органа, организующего </t>
  </si>
  <si>
    <t>по ОКПО</t>
  </si>
  <si>
    <t>Наименование бюджета__________________________________________</t>
  </si>
  <si>
    <t>Периодичность: месячная</t>
  </si>
  <si>
    <t>Единица измерения: руб.</t>
  </si>
  <si>
    <t>по ОКЕИ</t>
  </si>
  <si>
    <t>020</t>
  </si>
  <si>
    <t>Бюджетные</t>
  </si>
  <si>
    <t>Финансирование</t>
  </si>
  <si>
    <t>за месяц</t>
  </si>
  <si>
    <t>с начала года</t>
  </si>
  <si>
    <t>услуги связи</t>
  </si>
  <si>
    <t>ВСЕГО</t>
  </si>
  <si>
    <t>0702</t>
  </si>
  <si>
    <t>неисполненные назначения</t>
  </si>
  <si>
    <t>приобретение услуг</t>
  </si>
  <si>
    <t>12607027610240590611.000</t>
  </si>
  <si>
    <t>12607027610240590.611.000</t>
  </si>
  <si>
    <t>12607027610273020611.000</t>
  </si>
  <si>
    <t>126070782301S2080612.000</t>
  </si>
  <si>
    <t>Увеличение ст-сти прочих мат.запасов</t>
  </si>
  <si>
    <t>Страхование</t>
  </si>
  <si>
    <t>Увеличение ст-сти стройматериалов</t>
  </si>
  <si>
    <t>12607027610449999612.000</t>
  </si>
  <si>
    <t>Увеличение ст-сти мат-в однократного применения</t>
  </si>
  <si>
    <t>Социальные пособия и компенсации персоналу в денежной форме</t>
  </si>
  <si>
    <t xml:space="preserve">Расходы на выплаты персоналу казенных учреждений </t>
  </si>
  <si>
    <t>Фонд оплаты труда учреждений</t>
  </si>
  <si>
    <t>Заработная плата</t>
  </si>
  <si>
    <t>Взносы по обязательному социальному страхованию на выплаты по оплате труда</t>
  </si>
  <si>
    <t xml:space="preserve">Оплата работ, услуг </t>
  </si>
  <si>
    <t>Увеличение стоимости продуктов питания</t>
  </si>
  <si>
    <t>Увеличение ст-сти мяг.инвентаря</t>
  </si>
  <si>
    <t>12607027610273020611.345</t>
  </si>
  <si>
    <t>Увеличение ст-сти прочих мяг.инвентаря</t>
  </si>
  <si>
    <t>126070276111S2989612.000</t>
  </si>
  <si>
    <t>12607027610549999612.000</t>
  </si>
  <si>
    <t>прочие выплаты</t>
  </si>
  <si>
    <t>126070276113S2976612.000</t>
  </si>
  <si>
    <t>12607027610273020611.344</t>
  </si>
  <si>
    <t>Увеличение ст-сти медикаментов</t>
  </si>
  <si>
    <t>126070276116S2957612.000</t>
  </si>
  <si>
    <t>Увеличение ст-сти продуктов</t>
  </si>
  <si>
    <t>12607027611049999612.000</t>
  </si>
  <si>
    <t>12607027610240590112.222</t>
  </si>
  <si>
    <t>12607027610240590244.220</t>
  </si>
  <si>
    <t>12607027610240590244.221</t>
  </si>
  <si>
    <t>12607027610240590244.222</t>
  </si>
  <si>
    <t>12607027610240590244.223</t>
  </si>
  <si>
    <t>12607027610240590244.225</t>
  </si>
  <si>
    <t>12607027610240590244.226</t>
  </si>
  <si>
    <t>12607027610240590244.227</t>
  </si>
  <si>
    <t>12607027610240590851.291</t>
  </si>
  <si>
    <t>12607027610240590852.291</t>
  </si>
  <si>
    <t>12607027610240590853.292</t>
  </si>
  <si>
    <t>12607027610240590244.300</t>
  </si>
  <si>
    <t>12607027610240590244.310</t>
  </si>
  <si>
    <t>12607027610240590244.340</t>
  </si>
  <si>
    <t>12607027610240590244.341</t>
  </si>
  <si>
    <t>12607027610240590244.342</t>
  </si>
  <si>
    <t>12607027610240590244.343</t>
  </si>
  <si>
    <t>12607027610240590244.344</t>
  </si>
  <si>
    <t>12607027610240590244.345</t>
  </si>
  <si>
    <t>12607027610240590244.346</t>
  </si>
  <si>
    <t>12607027610240590244.349</t>
  </si>
  <si>
    <t>12607027610273020110.210</t>
  </si>
  <si>
    <t>12607027610273020111.200</t>
  </si>
  <si>
    <t>12607027610273020111.211</t>
  </si>
  <si>
    <t>12607027610273020111.266</t>
  </si>
  <si>
    <t>12607027610273020119.213</t>
  </si>
  <si>
    <t>12607027610273020244.220</t>
  </si>
  <si>
    <t>12607027610273020244.221</t>
  </si>
  <si>
    <t>12607027610273020244.300</t>
  </si>
  <si>
    <t>12607027610273020244.310</t>
  </si>
  <si>
    <t>12607027610273020244.340</t>
  </si>
  <si>
    <t>12607027610273020244.346</t>
  </si>
  <si>
    <t>12607027610240590831.297</t>
  </si>
  <si>
    <t>Иные выплаты текущего характера организациям</t>
  </si>
  <si>
    <t>126070276118L3041612.000</t>
  </si>
  <si>
    <t>126070276118S2937612.000</t>
  </si>
  <si>
    <t>126070782301S2080244.340</t>
  </si>
  <si>
    <t>Закупка энергетических ресурсов</t>
  </si>
  <si>
    <t>12607027610240590247.223</t>
  </si>
  <si>
    <t>12607027611049999244.225</t>
  </si>
  <si>
    <t>126070276118S2939612.000</t>
  </si>
  <si>
    <t>12607027610273180612.000</t>
  </si>
  <si>
    <t>126070276118S2937244.342</t>
  </si>
  <si>
    <t>12607027610449999244.340</t>
  </si>
  <si>
    <t>Увеличение стоимости мат.запасов</t>
  </si>
  <si>
    <t>12607027610549999244.340</t>
  </si>
  <si>
    <t>126070276102S2370244.310</t>
  </si>
  <si>
    <t>126070276102S2370612.000</t>
  </si>
  <si>
    <t>12607027610640200612.000</t>
  </si>
  <si>
    <t>12610048220373050244.342</t>
  </si>
  <si>
    <t>12607027610253031.111.211</t>
  </si>
  <si>
    <t>12607027610253031.119.213</t>
  </si>
  <si>
    <t>12607027610253031.611.000</t>
  </si>
  <si>
    <t>12607027610240590853.296</t>
  </si>
  <si>
    <t>126070276106S2050243.225</t>
  </si>
  <si>
    <t>126070276106S2050612.000</t>
  </si>
  <si>
    <t> Иные выплаты населению</t>
  </si>
  <si>
    <t>12607027610240590119.213</t>
  </si>
  <si>
    <t>12607027610273020244.349</t>
  </si>
  <si>
    <t>Увеличение ст-сти прочих мат.запасов однокр.прим</t>
  </si>
  <si>
    <t>Работы и услуги по содержанию имущества</t>
  </si>
  <si>
    <t>Приобретение основных средств</t>
  </si>
  <si>
    <t>126070276118S2939244.225</t>
  </si>
  <si>
    <t>12607027610273020611.225</t>
  </si>
  <si>
    <t>126070276111S29234612.000</t>
  </si>
  <si>
    <t>12607027610640200243.225</t>
  </si>
  <si>
    <t>12607027610640200245.226</t>
  </si>
  <si>
    <t>12607027610240590244.320</t>
  </si>
  <si>
    <t>Увеличение ст-сти нематериальных активов</t>
  </si>
  <si>
    <t>12607027610640200243.226</t>
  </si>
  <si>
    <t>12607027611249999612.000</t>
  </si>
  <si>
    <t>12607027611049999244.226</t>
  </si>
  <si>
    <t>12607028310149999244.225</t>
  </si>
  <si>
    <t>12607028310149999612.000</t>
  </si>
  <si>
    <r>
      <t xml:space="preserve">исполнение бюджета:    </t>
    </r>
    <r>
      <rPr>
        <u/>
        <sz val="10"/>
        <rFont val="Arial"/>
        <family val="2"/>
        <charset val="204"/>
      </rPr>
      <t>_______________________________________________</t>
    </r>
  </si>
  <si>
    <t>1261008 (612)</t>
  </si>
  <si>
    <t>1261010 (612)</t>
  </si>
  <si>
    <t>финансированию</t>
  </si>
  <si>
    <t>1261012 (612)</t>
  </si>
  <si>
    <t>12610048220373050612.00</t>
  </si>
  <si>
    <t>1261019 (612)</t>
  </si>
  <si>
    <t>Исполнено за месяц</t>
  </si>
  <si>
    <t>Исполнено за с начала года</t>
  </si>
  <si>
    <t>Обеспечение контракта</t>
  </si>
  <si>
    <t>Иные безвозмездные поступления</t>
  </si>
  <si>
    <t>Остаток на конец месяца</t>
  </si>
  <si>
    <t>Выплаты всего</t>
  </si>
  <si>
    <t>КФО 2   Доходы от внебюджетной деятельности</t>
  </si>
  <si>
    <t>Доходы  - всего</t>
  </si>
  <si>
    <t>КВР</t>
  </si>
  <si>
    <t>КОСГУ</t>
  </si>
  <si>
    <t>4. Субсидии на выполнение государственного (муниципального) задания</t>
  </si>
  <si>
    <t>5. Субсидии на иные цели</t>
  </si>
  <si>
    <t xml:space="preserve">Доходы от оказания платных услуг </t>
  </si>
  <si>
    <t>штраф</t>
  </si>
  <si>
    <t>Возмещение ущерба</t>
  </si>
  <si>
    <t>ЦЗ</t>
  </si>
  <si>
    <t>Родительская плата</t>
  </si>
  <si>
    <t>Увеличение ст-сти ГСМ,уголь</t>
  </si>
  <si>
    <t>горячее питание</t>
  </si>
  <si>
    <t>ОВЗ</t>
  </si>
  <si>
    <t>инвалиды</t>
  </si>
  <si>
    <t>молоко</t>
  </si>
  <si>
    <t>СЗ</t>
  </si>
  <si>
    <t>Штрафы,пени за нарушение законодательства о налогах и сборах, законодательства о страховых взносах</t>
  </si>
  <si>
    <t>Налоги, пошлины и сборы (транс.налог)</t>
  </si>
  <si>
    <t>Налоги, пошлины и сборы (земельный налог)</t>
  </si>
  <si>
    <t>Иные выплаты текущего характера физическим лицам (компенсация)</t>
  </si>
  <si>
    <t>ЛДП</t>
  </si>
  <si>
    <t>12607027611249999244.340</t>
  </si>
  <si>
    <t>окна</t>
  </si>
  <si>
    <t>КР ФБ</t>
  </si>
  <si>
    <t>МБОУ Новоленинская СОШ</t>
  </si>
  <si>
    <t>родительская плата</t>
  </si>
  <si>
    <t>126070276115S2976244.342</t>
  </si>
  <si>
    <t>126070276115S2976321.263</t>
  </si>
  <si>
    <t>1261013 (612)</t>
  </si>
  <si>
    <t>126070276115S2957244.342</t>
  </si>
  <si>
    <t>126070276113L3041244.342</t>
  </si>
  <si>
    <t>1261000 (612)</t>
  </si>
  <si>
    <t>Прочие работы и услуги</t>
  </si>
  <si>
    <t>1261020 (612)</t>
  </si>
  <si>
    <t>12607027610649999612.000</t>
  </si>
  <si>
    <t>12607027610649999244.226</t>
  </si>
  <si>
    <t>Экспертиза</t>
  </si>
  <si>
    <t>1261028 (612)</t>
  </si>
  <si>
    <t>126070276111S2939244.310</t>
  </si>
  <si>
    <t>126070276111S2928244.310</t>
  </si>
  <si>
    <t>учебники</t>
  </si>
  <si>
    <t>1260702761Е250971243.225</t>
  </si>
  <si>
    <t>рем.спорт</t>
  </si>
  <si>
    <t>1261018 (612)</t>
  </si>
  <si>
    <t>1261014 (612)</t>
  </si>
  <si>
    <t>126070276111S2370244.310</t>
  </si>
  <si>
    <t>1261030 (612)</t>
  </si>
  <si>
    <t>нар.ини. Пищеблок</t>
  </si>
  <si>
    <t>БДД</t>
  </si>
  <si>
    <t>1261005 (612)</t>
  </si>
  <si>
    <t>12607027610549999244.226</t>
  </si>
  <si>
    <t>на "_01__"__01_____ 2023год</t>
  </si>
  <si>
    <t>Заработная плата советники</t>
  </si>
  <si>
    <t>Начисление советники</t>
  </si>
  <si>
    <t>1260709761EB5179F111.211</t>
  </si>
  <si>
    <t>1260709761EB5179F111.213</t>
  </si>
  <si>
    <t>начисление декабрь</t>
  </si>
  <si>
    <t>КР</t>
  </si>
  <si>
    <t>Советник декабрь</t>
  </si>
  <si>
    <t>Советник с,о,н.</t>
  </si>
  <si>
    <t>Проверка</t>
  </si>
  <si>
    <t>Распределить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</si>
</sst>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9" fillId="0" borderId="0"/>
    <xf numFmtId="0" fontId="15" fillId="0" borderId="0"/>
  </cellStyleXfs>
  <cellXfs count="15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0" fillId="0" borderId="0" xfId="0" applyAlignment="1"/>
    <xf numFmtId="0" fontId="7" fillId="0" borderId="0" xfId="0" applyFont="1"/>
    <xf numFmtId="0" fontId="0" fillId="0" borderId="0" xfId="0" applyAlignment="1">
      <alignment vertical="justify"/>
    </xf>
    <xf numFmtId="0" fontId="8" fillId="0" borderId="0" xfId="0" applyFont="1"/>
    <xf numFmtId="2" fontId="11" fillId="0" borderId="0" xfId="0" applyNumberFormat="1" applyFont="1" applyFill="1" applyBorder="1" applyAlignment="1"/>
    <xf numFmtId="2" fontId="10" fillId="0" borderId="0" xfId="0" applyNumberFormat="1" applyFont="1" applyFill="1"/>
    <xf numFmtId="2" fontId="10" fillId="0" borderId="2" xfId="0" applyNumberFormat="1" applyFont="1" applyFill="1" applyBorder="1" applyAlignment="1">
      <alignment horizontal="left"/>
    </xf>
    <xf numFmtId="2" fontId="10" fillId="0" borderId="3" xfId="0" applyNumberFormat="1" applyFont="1" applyFill="1" applyBorder="1" applyAlignment="1">
      <alignment horizontal="left"/>
    </xf>
    <xf numFmtId="2" fontId="10" fillId="0" borderId="3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/>
    <xf numFmtId="2" fontId="10" fillId="0" borderId="3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2" fontId="12" fillId="0" borderId="0" xfId="0" applyNumberFormat="1" applyFont="1" applyFill="1"/>
    <xf numFmtId="2" fontId="12" fillId="0" borderId="2" xfId="0" applyNumberFormat="1" applyFont="1" applyFill="1" applyBorder="1" applyAlignment="1">
      <alignment horizontal="left"/>
    </xf>
    <xf numFmtId="2" fontId="12" fillId="0" borderId="2" xfId="0" applyNumberFormat="1" applyFont="1" applyFill="1" applyBorder="1"/>
    <xf numFmtId="2" fontId="12" fillId="0" borderId="5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/>
    <xf numFmtId="2" fontId="12" fillId="0" borderId="4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left" wrapText="1"/>
    </xf>
    <xf numFmtId="2" fontId="11" fillId="0" borderId="18" xfId="0" applyNumberFormat="1" applyFont="1" applyFill="1" applyBorder="1" applyAlignment="1">
      <alignment horizontal="left" wrapText="1"/>
    </xf>
    <xf numFmtId="2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right"/>
    </xf>
    <xf numFmtId="2" fontId="11" fillId="0" borderId="18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left" wrapText="1"/>
    </xf>
    <xf numFmtId="2" fontId="10" fillId="0" borderId="20" xfId="0" applyNumberFormat="1" applyFont="1" applyFill="1" applyBorder="1" applyAlignment="1">
      <alignment horizontal="left" wrapText="1"/>
    </xf>
    <xf numFmtId="2" fontId="10" fillId="0" borderId="20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right"/>
    </xf>
    <xf numFmtId="2" fontId="13" fillId="0" borderId="22" xfId="0" applyNumberFormat="1" applyFont="1" applyFill="1" applyBorder="1" applyAlignment="1">
      <alignment horizontal="center" wrapText="1"/>
    </xf>
    <xf numFmtId="2" fontId="11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right"/>
    </xf>
    <xf numFmtId="2" fontId="13" fillId="0" borderId="18" xfId="0" applyNumberFormat="1" applyFont="1" applyFill="1" applyBorder="1" applyAlignment="1">
      <alignment horizontal="left" wrapText="1"/>
    </xf>
    <xf numFmtId="2" fontId="13" fillId="0" borderId="18" xfId="0" applyNumberFormat="1" applyFont="1" applyFill="1" applyBorder="1" applyAlignment="1">
      <alignment horizontal="right"/>
    </xf>
    <xf numFmtId="49" fontId="13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2" fontId="13" fillId="0" borderId="0" xfId="0" applyNumberFormat="1" applyFont="1" applyFill="1"/>
    <xf numFmtId="2" fontId="1" fillId="0" borderId="11" xfId="0" applyNumberFormat="1" applyFont="1" applyFill="1" applyBorder="1" applyAlignment="1">
      <alignment horizontal="left" wrapText="1"/>
    </xf>
    <xf numFmtId="1" fontId="10" fillId="0" borderId="7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1" fillId="0" borderId="0" xfId="0" applyNumberFormat="1" applyFont="1" applyFill="1"/>
    <xf numFmtId="1" fontId="10" fillId="0" borderId="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left" wrapText="1"/>
    </xf>
    <xf numFmtId="2" fontId="13" fillId="0" borderId="18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/>
    </xf>
    <xf numFmtId="1" fontId="13" fillId="0" borderId="1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wrapText="1"/>
    </xf>
    <xf numFmtId="2" fontId="13" fillId="0" borderId="23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0" applyFont="1"/>
    <xf numFmtId="2" fontId="12" fillId="0" borderId="1" xfId="0" applyNumberFormat="1" applyFont="1" applyFill="1" applyBorder="1" applyAlignment="1">
      <alignment horizontal="right"/>
    </xf>
    <xf numFmtId="2" fontId="10" fillId="2" borderId="0" xfId="0" applyNumberFormat="1" applyFont="1" applyFill="1"/>
    <xf numFmtId="2" fontId="12" fillId="2" borderId="0" xfId="0" applyNumberFormat="1" applyFont="1" applyFill="1" applyBorder="1"/>
    <xf numFmtId="2" fontId="12" fillId="2" borderId="5" xfId="0" applyNumberFormat="1" applyFont="1" applyFill="1" applyBorder="1"/>
    <xf numFmtId="2" fontId="10" fillId="2" borderId="4" xfId="0" applyNumberFormat="1" applyFont="1" applyFill="1" applyBorder="1" applyAlignment="1">
      <alignment vertical="distributed"/>
    </xf>
    <xf numFmtId="2" fontId="12" fillId="2" borderId="4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2" fontId="10" fillId="2" borderId="26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right"/>
    </xf>
    <xf numFmtId="2" fontId="10" fillId="2" borderId="12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2" fontId="12" fillId="2" borderId="11" xfId="0" applyNumberFormat="1" applyFont="1" applyFill="1" applyBorder="1" applyAlignment="1">
      <alignment horizontal="right"/>
    </xf>
    <xf numFmtId="2" fontId="12" fillId="2" borderId="12" xfId="0" applyNumberFormat="1" applyFont="1" applyFill="1" applyBorder="1" applyAlignment="1">
      <alignment horizontal="right"/>
    </xf>
    <xf numFmtId="2" fontId="11" fillId="2" borderId="18" xfId="0" applyNumberFormat="1" applyFont="1" applyFill="1" applyBorder="1" applyAlignment="1">
      <alignment horizontal="right"/>
    </xf>
    <xf numFmtId="2" fontId="13" fillId="2" borderId="22" xfId="0" applyNumberFormat="1" applyFont="1" applyFill="1" applyBorder="1" applyAlignment="1">
      <alignment horizontal="right"/>
    </xf>
    <xf numFmtId="2" fontId="10" fillId="2" borderId="5" xfId="0" applyNumberFormat="1" applyFont="1" applyFill="1" applyBorder="1"/>
    <xf numFmtId="2" fontId="11" fillId="2" borderId="22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11" fillId="2" borderId="21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2" fontId="12" fillId="2" borderId="0" xfId="0" applyNumberFormat="1" applyFont="1" applyFill="1"/>
    <xf numFmtId="2" fontId="10" fillId="2" borderId="0" xfId="0" applyNumberFormat="1" applyFont="1" applyFill="1" applyBorder="1"/>
    <xf numFmtId="2" fontId="12" fillId="2" borderId="5" xfId="0" applyNumberFormat="1" applyFont="1" applyFill="1" applyBorder="1" applyAlignment="1">
      <alignment horizontal="right"/>
    </xf>
    <xf numFmtId="2" fontId="13" fillId="3" borderId="22" xfId="0" applyNumberFormat="1" applyFont="1" applyFill="1" applyBorder="1" applyAlignment="1">
      <alignment horizontal="right"/>
    </xf>
    <xf numFmtId="2" fontId="11" fillId="3" borderId="22" xfId="0" applyNumberFormat="1" applyFont="1" applyFill="1" applyBorder="1" applyAlignment="1">
      <alignment horizontal="right"/>
    </xf>
    <xf numFmtId="2" fontId="11" fillId="3" borderId="18" xfId="0" applyNumberFormat="1" applyFont="1" applyFill="1" applyBorder="1" applyAlignment="1">
      <alignment horizontal="right"/>
    </xf>
    <xf numFmtId="2" fontId="13" fillId="3" borderId="18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left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distributed" wrapText="1"/>
    </xf>
    <xf numFmtId="0" fontId="1" fillId="0" borderId="0" xfId="0" applyFont="1" applyFill="1" applyAlignment="1">
      <alignment vertical="distributed" wrapText="1"/>
    </xf>
    <xf numFmtId="2" fontId="10" fillId="0" borderId="14" xfId="0" applyNumberFormat="1" applyFont="1" applyFill="1" applyBorder="1" applyAlignment="1">
      <alignment horizontal="center" vertical="distributed"/>
    </xf>
    <xf numFmtId="2" fontId="10" fillId="0" borderId="15" xfId="0" applyNumberFormat="1" applyFont="1" applyFill="1" applyBorder="1" applyAlignment="1">
      <alignment horizontal="center" vertical="distributed"/>
    </xf>
    <xf numFmtId="2" fontId="10" fillId="0" borderId="2" xfId="0" applyNumberFormat="1" applyFont="1" applyFill="1" applyBorder="1" applyAlignment="1">
      <alignment horizontal="center" vertical="distributed"/>
    </xf>
    <xf numFmtId="2" fontId="10" fillId="0" borderId="1" xfId="0" applyNumberFormat="1" applyFont="1" applyFill="1" applyBorder="1" applyAlignment="1">
      <alignment horizontal="center" vertical="distributed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16" workbookViewId="0">
      <selection activeCell="G29" sqref="G29"/>
    </sheetView>
  </sheetViews>
  <sheetFormatPr defaultRowHeight="13.2" x14ac:dyDescent="0.25"/>
  <cols>
    <col min="1" max="1" width="13.6640625" customWidth="1"/>
    <col min="2" max="2" width="14.44140625" customWidth="1"/>
    <col min="3" max="3" width="7.33203125" customWidth="1"/>
    <col min="4" max="4" width="8.88671875" customWidth="1"/>
    <col min="5" max="5" width="36.6640625" customWidth="1"/>
    <col min="6" max="6" width="13.44140625" customWidth="1"/>
    <col min="7" max="7" width="12" customWidth="1"/>
  </cols>
  <sheetData>
    <row r="1" spans="1:10" s="9" customFormat="1" ht="17.399999999999999" x14ac:dyDescent="0.3">
      <c r="C1" s="9" t="s">
        <v>40</v>
      </c>
    </row>
    <row r="3" spans="1:10" s="2" customFormat="1" ht="15" x14ac:dyDescent="0.25">
      <c r="D3" s="7" t="s">
        <v>227</v>
      </c>
    </row>
    <row r="4" spans="1:10" x14ac:dyDescent="0.25">
      <c r="G4" s="4" t="s">
        <v>41</v>
      </c>
    </row>
    <row r="5" spans="1:10" x14ac:dyDescent="0.25">
      <c r="D5" s="11" t="s">
        <v>51</v>
      </c>
      <c r="F5" s="1" t="s">
        <v>42</v>
      </c>
      <c r="G5" s="4">
        <v>503127</v>
      </c>
    </row>
    <row r="6" spans="1:10" x14ac:dyDescent="0.25">
      <c r="F6" t="s">
        <v>43</v>
      </c>
      <c r="G6" s="4"/>
    </row>
    <row r="7" spans="1:10" x14ac:dyDescent="0.25">
      <c r="A7" t="s">
        <v>44</v>
      </c>
      <c r="G7" s="4"/>
    </row>
    <row r="8" spans="1:10" x14ac:dyDescent="0.25">
      <c r="A8" t="s">
        <v>162</v>
      </c>
      <c r="C8" s="101" t="s">
        <v>200</v>
      </c>
      <c r="F8" t="s">
        <v>45</v>
      </c>
      <c r="G8" s="4"/>
    </row>
    <row r="9" spans="1:10" x14ac:dyDescent="0.25">
      <c r="A9" t="s">
        <v>46</v>
      </c>
      <c r="G9" s="4"/>
    </row>
    <row r="10" spans="1:10" x14ac:dyDescent="0.25">
      <c r="A10" t="s">
        <v>47</v>
      </c>
      <c r="G10" s="4"/>
    </row>
    <row r="11" spans="1:10" x14ac:dyDescent="0.25">
      <c r="A11" t="s">
        <v>48</v>
      </c>
      <c r="F11" t="s">
        <v>49</v>
      </c>
      <c r="G11" s="4">
        <v>383</v>
      </c>
    </row>
    <row r="13" spans="1:10" x14ac:dyDescent="0.25">
      <c r="D13" s="11" t="s">
        <v>175</v>
      </c>
      <c r="E13" s="11"/>
    </row>
    <row r="14" spans="1:10" ht="48.75" customHeight="1" x14ac:dyDescent="0.25">
      <c r="A14" s="139" t="s">
        <v>39</v>
      </c>
      <c r="B14" s="139"/>
      <c r="C14" s="3" t="s">
        <v>177</v>
      </c>
      <c r="D14" s="3" t="s">
        <v>178</v>
      </c>
      <c r="E14" s="3"/>
      <c r="F14" s="3" t="s">
        <v>169</v>
      </c>
      <c r="G14" s="91" t="s">
        <v>170</v>
      </c>
      <c r="H14" s="10"/>
      <c r="I14" s="8"/>
      <c r="J14" s="8"/>
    </row>
    <row r="15" spans="1:10" x14ac:dyDescent="0.25">
      <c r="A15" s="136">
        <v>1</v>
      </c>
      <c r="B15" s="136"/>
      <c r="C15" s="4">
        <v>2</v>
      </c>
      <c r="D15" s="4">
        <v>3</v>
      </c>
      <c r="E15" s="4">
        <v>4</v>
      </c>
      <c r="F15" s="4">
        <v>5</v>
      </c>
      <c r="G15" s="4">
        <v>6</v>
      </c>
    </row>
    <row r="16" spans="1:10" ht="16.5" customHeight="1" x14ac:dyDescent="0.25">
      <c r="A16" s="137" t="s">
        <v>176</v>
      </c>
      <c r="B16" s="138"/>
      <c r="C16" s="138"/>
      <c r="D16" s="138"/>
      <c r="E16" s="138"/>
      <c r="F16" s="90">
        <f>SUM(F18:F21)</f>
        <v>73437</v>
      </c>
      <c r="G16" s="90">
        <f>SUM(G18:G21)</f>
        <v>343009</v>
      </c>
    </row>
    <row r="17" spans="1:7" ht="16.5" customHeight="1" x14ac:dyDescent="0.25">
      <c r="A17" s="140" t="s">
        <v>8</v>
      </c>
      <c r="B17" s="140"/>
      <c r="C17" s="5" t="s">
        <v>50</v>
      </c>
      <c r="D17" s="6"/>
      <c r="E17" s="6"/>
      <c r="F17" s="6"/>
      <c r="G17" s="6"/>
    </row>
    <row r="18" spans="1:7" ht="16.5" customHeight="1" x14ac:dyDescent="0.25">
      <c r="A18" s="141" t="s">
        <v>181</v>
      </c>
      <c r="B18" s="142"/>
      <c r="C18" s="143"/>
      <c r="D18" s="90">
        <v>130</v>
      </c>
      <c r="E18" s="6" t="s">
        <v>182</v>
      </c>
      <c r="F18" s="6"/>
      <c r="G18" s="6">
        <f>F18</f>
        <v>0</v>
      </c>
    </row>
    <row r="19" spans="1:7" ht="16.5" customHeight="1" x14ac:dyDescent="0.25">
      <c r="A19" s="141" t="s">
        <v>181</v>
      </c>
      <c r="B19" s="142"/>
      <c r="C19" s="143"/>
      <c r="D19" s="92">
        <v>130</v>
      </c>
      <c r="E19" s="6" t="s">
        <v>185</v>
      </c>
      <c r="F19" s="6">
        <v>73437</v>
      </c>
      <c r="G19" s="6">
        <f>101343+25813+43658+27141+71617+73437</f>
        <v>343009</v>
      </c>
    </row>
    <row r="20" spans="1:7" ht="16.5" customHeight="1" x14ac:dyDescent="0.25">
      <c r="A20" s="137" t="s">
        <v>172</v>
      </c>
      <c r="B20" s="138"/>
      <c r="C20" s="144"/>
      <c r="D20" s="90">
        <v>180</v>
      </c>
      <c r="E20" s="6" t="s">
        <v>183</v>
      </c>
      <c r="F20" s="6"/>
      <c r="G20" s="6">
        <f t="shared" ref="G20:G21" si="0">F20</f>
        <v>0</v>
      </c>
    </row>
    <row r="21" spans="1:7" ht="16.5" customHeight="1" x14ac:dyDescent="0.25">
      <c r="A21" s="137" t="s">
        <v>171</v>
      </c>
      <c r="B21" s="138"/>
      <c r="C21" s="144"/>
      <c r="D21" s="90">
        <v>510</v>
      </c>
      <c r="E21" s="6"/>
      <c r="F21" s="6"/>
      <c r="G21" s="6">
        <f t="shared" si="0"/>
        <v>0</v>
      </c>
    </row>
    <row r="22" spans="1:7" ht="16.5" customHeight="1" x14ac:dyDescent="0.25">
      <c r="A22" s="136"/>
      <c r="B22" s="136"/>
      <c r="C22" s="6"/>
      <c r="D22" s="90"/>
      <c r="E22" s="6"/>
      <c r="F22" s="6"/>
      <c r="G22" s="6"/>
    </row>
    <row r="23" spans="1:7" ht="16.5" customHeight="1" x14ac:dyDescent="0.25">
      <c r="A23" s="136"/>
      <c r="B23" s="136"/>
      <c r="C23" s="6"/>
      <c r="D23" s="90"/>
      <c r="E23" s="6"/>
      <c r="F23" s="6"/>
      <c r="G23" s="6"/>
    </row>
    <row r="24" spans="1:7" ht="16.5" customHeight="1" x14ac:dyDescent="0.25">
      <c r="A24" s="136"/>
      <c r="B24" s="136"/>
      <c r="C24" s="6"/>
      <c r="D24" s="6"/>
      <c r="E24" s="6"/>
      <c r="F24" s="6"/>
      <c r="G24" s="6"/>
    </row>
    <row r="25" spans="1:7" ht="16.5" customHeight="1" x14ac:dyDescent="0.25">
      <c r="A25" s="137" t="s">
        <v>174</v>
      </c>
      <c r="B25" s="138"/>
      <c r="C25" s="138"/>
      <c r="D25" s="138"/>
      <c r="E25" s="138"/>
      <c r="F25" s="90">
        <f>SUM(F26:F35)</f>
        <v>73437</v>
      </c>
      <c r="G25" s="90">
        <f>SUM(G26:G35)</f>
        <v>343009</v>
      </c>
    </row>
    <row r="26" spans="1:7" ht="16.5" customHeight="1" x14ac:dyDescent="0.25">
      <c r="A26" s="136"/>
      <c r="B26" s="136"/>
      <c r="C26" s="6"/>
      <c r="D26" s="6"/>
      <c r="E26" s="99"/>
      <c r="F26" s="90"/>
      <c r="G26" s="90"/>
    </row>
    <row r="27" spans="1:7" ht="16.5" customHeight="1" x14ac:dyDescent="0.25">
      <c r="A27" s="136"/>
      <c r="B27" s="136"/>
      <c r="C27" s="6">
        <v>292</v>
      </c>
      <c r="D27" s="6">
        <v>853</v>
      </c>
      <c r="E27" s="131" t="s">
        <v>182</v>
      </c>
      <c r="F27" s="100"/>
      <c r="G27" s="6">
        <f t="shared" ref="G27:G30" si="1">F27</f>
        <v>0</v>
      </c>
    </row>
    <row r="28" spans="1:7" ht="16.5" customHeight="1" x14ac:dyDescent="0.25">
      <c r="A28" s="136"/>
      <c r="B28" s="136"/>
      <c r="C28" s="6">
        <v>244</v>
      </c>
      <c r="D28" s="6">
        <v>342</v>
      </c>
      <c r="E28" s="6" t="s">
        <v>201</v>
      </c>
      <c r="F28" s="6">
        <v>73437</v>
      </c>
      <c r="G28" s="6">
        <f>101343+25813+43658+27141+71617+73437</f>
        <v>343009</v>
      </c>
    </row>
    <row r="29" spans="1:7" ht="16.5" customHeight="1" x14ac:dyDescent="0.25">
      <c r="A29" s="136"/>
      <c r="B29" s="136"/>
      <c r="C29" s="6">
        <v>244</v>
      </c>
      <c r="D29" s="6">
        <v>346</v>
      </c>
      <c r="E29" s="6" t="s">
        <v>183</v>
      </c>
      <c r="F29" s="6"/>
      <c r="G29" s="6">
        <f t="shared" si="1"/>
        <v>0</v>
      </c>
    </row>
    <row r="30" spans="1:7" ht="16.5" customHeight="1" x14ac:dyDescent="0.25">
      <c r="A30" s="136"/>
      <c r="B30" s="136"/>
      <c r="C30" s="6"/>
      <c r="D30" s="6"/>
      <c r="E30" s="6"/>
      <c r="F30" s="6"/>
      <c r="G30" s="6">
        <f t="shared" si="1"/>
        <v>0</v>
      </c>
    </row>
    <row r="31" spans="1:7" ht="16.5" customHeight="1" x14ac:dyDescent="0.25">
      <c r="A31" s="136"/>
      <c r="B31" s="136"/>
      <c r="C31" s="6"/>
      <c r="D31" s="6"/>
      <c r="E31" s="90"/>
      <c r="F31" s="6"/>
      <c r="G31" s="6"/>
    </row>
    <row r="32" spans="1:7" ht="16.5" customHeight="1" x14ac:dyDescent="0.25">
      <c r="A32" s="136"/>
      <c r="B32" s="136"/>
      <c r="C32" s="6"/>
      <c r="D32" s="6"/>
      <c r="E32" s="6"/>
      <c r="F32" s="6"/>
      <c r="G32" s="6"/>
    </row>
    <row r="33" spans="1:7" ht="15" customHeight="1" x14ac:dyDescent="0.25">
      <c r="A33" s="136"/>
      <c r="B33" s="136"/>
      <c r="C33" s="6"/>
      <c r="D33" s="6"/>
      <c r="E33" s="6"/>
      <c r="F33" s="6"/>
      <c r="G33" s="6"/>
    </row>
    <row r="34" spans="1:7" ht="15" customHeight="1" x14ac:dyDescent="0.25">
      <c r="A34" s="136"/>
      <c r="B34" s="136"/>
      <c r="C34" s="6"/>
      <c r="D34" s="6"/>
      <c r="E34" s="6"/>
      <c r="F34" s="6"/>
      <c r="G34" s="6"/>
    </row>
    <row r="35" spans="1:7" ht="15" customHeight="1" x14ac:dyDescent="0.25">
      <c r="A35" s="136"/>
      <c r="B35" s="136"/>
      <c r="C35" s="6"/>
      <c r="D35" s="6"/>
      <c r="E35" s="6"/>
      <c r="F35" s="6"/>
      <c r="G35" s="6"/>
    </row>
    <row r="36" spans="1:7" ht="15" customHeight="1" x14ac:dyDescent="0.25">
      <c r="A36" s="136" t="s">
        <v>173</v>
      </c>
      <c r="B36" s="136"/>
      <c r="C36" s="6"/>
      <c r="D36" s="6"/>
      <c r="E36" s="6"/>
      <c r="F36" s="6">
        <f>F16-F25</f>
        <v>0</v>
      </c>
      <c r="G36" s="6">
        <f>G16-G25</f>
        <v>0</v>
      </c>
    </row>
  </sheetData>
  <mergeCells count="23">
    <mergeCell ref="A22:B22"/>
    <mergeCell ref="A25:E25"/>
    <mergeCell ref="A14:B14"/>
    <mergeCell ref="A15:B15"/>
    <mergeCell ref="A17:B17"/>
    <mergeCell ref="A18:C18"/>
    <mergeCell ref="A16:E16"/>
    <mergeCell ref="A19:C19"/>
    <mergeCell ref="A24:B24"/>
    <mergeCell ref="A23:B23"/>
    <mergeCell ref="A20:C20"/>
    <mergeCell ref="A21:C21"/>
    <mergeCell ref="A31:B31"/>
    <mergeCell ref="A35:B35"/>
    <mergeCell ref="A36:B36"/>
    <mergeCell ref="A32:B32"/>
    <mergeCell ref="A33:B33"/>
    <mergeCell ref="A34:B34"/>
    <mergeCell ref="A29:B29"/>
    <mergeCell ref="A30:B30"/>
    <mergeCell ref="A26:B26"/>
    <mergeCell ref="A27:B27"/>
    <mergeCell ref="A28:B28"/>
  </mergeCells>
  <phoneticPr fontId="2" type="noConversion"/>
  <pageMargins left="0.52" right="0.38" top="0.61" bottom="0.5" header="0.31" footer="0.2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113"/>
  <sheetViews>
    <sheetView tabSelected="1" zoomScaleNormal="100" workbookViewId="0">
      <pane xSplit="3" ySplit="12" topLeftCell="D103" activePane="bottomRight" state="frozen"/>
      <selection pane="topRight" activeCell="D1" sqref="D1"/>
      <selection pane="bottomLeft" activeCell="A17" sqref="A17"/>
      <selection pane="bottomRight" activeCell="E17" sqref="E17"/>
    </sheetView>
  </sheetViews>
  <sheetFormatPr defaultColWidth="9.109375" defaultRowHeight="11.4" x14ac:dyDescent="0.2"/>
  <cols>
    <col min="1" max="1" width="28" style="13" customWidth="1"/>
    <col min="2" max="2" width="8.6640625" style="41" customWidth="1"/>
    <col min="3" max="3" width="28.109375" style="13" customWidth="1"/>
    <col min="4" max="4" width="18.5546875" style="41" customWidth="1"/>
    <col min="5" max="5" width="17.88671875" style="41" customWidth="1"/>
    <col min="6" max="6" width="15.33203125" style="41" customWidth="1"/>
    <col min="7" max="7" width="14.44140625" style="41" customWidth="1"/>
    <col min="8" max="8" width="14.44140625" style="124" customWidth="1"/>
    <col min="9" max="10" width="15.33203125" style="41" customWidth="1"/>
    <col min="11" max="11" width="9.109375" style="124"/>
    <col min="12" max="12" width="9.109375" style="41"/>
    <col min="13" max="13" width="12.5546875" style="41" customWidth="1"/>
    <col min="14" max="17" width="9.109375" style="41"/>
    <col min="18" max="18" width="11.44140625" style="41" customWidth="1"/>
    <col min="19" max="19" width="11" style="41" customWidth="1"/>
    <col min="20" max="20" width="9.44140625" style="41" bestFit="1" customWidth="1"/>
    <col min="21" max="21" width="11.44140625" style="41" bestFit="1" customWidth="1"/>
    <col min="22" max="16384" width="9.109375" style="41"/>
  </cols>
  <sheetData>
    <row r="1" spans="1:11" ht="12" x14ac:dyDescent="0.25">
      <c r="A1" s="12"/>
      <c r="B1" s="12"/>
      <c r="C1" s="12" t="s">
        <v>179</v>
      </c>
      <c r="D1" s="13"/>
      <c r="E1" s="13"/>
      <c r="F1" s="13"/>
      <c r="G1" s="13"/>
      <c r="H1" s="103"/>
    </row>
    <row r="2" spans="1:11" ht="12" x14ac:dyDescent="0.25">
      <c r="A2" s="14"/>
      <c r="B2" s="42"/>
      <c r="C2" s="12" t="s">
        <v>180</v>
      </c>
      <c r="D2" s="43"/>
      <c r="E2" s="43"/>
      <c r="F2" s="43"/>
      <c r="G2" s="43"/>
      <c r="H2" s="104"/>
      <c r="I2" s="43"/>
      <c r="J2" s="43"/>
    </row>
    <row r="3" spans="1:11" ht="12.75" customHeight="1" x14ac:dyDescent="0.2">
      <c r="A3" s="15"/>
      <c r="B3" s="32"/>
      <c r="C3" s="133" t="s">
        <v>9</v>
      </c>
      <c r="D3" s="20" t="s">
        <v>10</v>
      </c>
      <c r="F3" s="44"/>
      <c r="G3" s="94"/>
      <c r="H3" s="105"/>
      <c r="I3" s="150" t="s">
        <v>58</v>
      </c>
      <c r="J3" s="151"/>
    </row>
    <row r="4" spans="1:11" x14ac:dyDescent="0.2">
      <c r="A4" s="16" t="s">
        <v>0</v>
      </c>
      <c r="B4" s="32" t="s">
        <v>1</v>
      </c>
      <c r="C4" s="17" t="s">
        <v>11</v>
      </c>
      <c r="D4" s="20" t="s">
        <v>12</v>
      </c>
      <c r="E4" s="45"/>
      <c r="F4" s="46"/>
      <c r="G4" s="48"/>
      <c r="H4" s="106"/>
      <c r="I4" s="152"/>
      <c r="J4" s="153"/>
    </row>
    <row r="5" spans="1:11" x14ac:dyDescent="0.2">
      <c r="A5" s="15"/>
      <c r="B5" s="32" t="s">
        <v>2</v>
      </c>
      <c r="C5" s="17" t="s">
        <v>13</v>
      </c>
      <c r="D5" s="20" t="s">
        <v>14</v>
      </c>
      <c r="E5" s="46" t="s">
        <v>52</v>
      </c>
      <c r="F5" s="46" t="s">
        <v>52</v>
      </c>
      <c r="G5" s="48" t="s">
        <v>3</v>
      </c>
      <c r="H5" s="107" t="s">
        <v>3</v>
      </c>
      <c r="I5" s="47" t="s">
        <v>15</v>
      </c>
      <c r="J5" s="46" t="s">
        <v>15</v>
      </c>
    </row>
    <row r="6" spans="1:11" x14ac:dyDescent="0.2">
      <c r="A6" s="15"/>
      <c r="B6" s="32" t="s">
        <v>4</v>
      </c>
      <c r="C6" s="17" t="s">
        <v>16</v>
      </c>
      <c r="D6" s="20" t="s">
        <v>17</v>
      </c>
      <c r="E6" s="46" t="s">
        <v>22</v>
      </c>
      <c r="F6" s="46" t="s">
        <v>22</v>
      </c>
      <c r="G6" s="48" t="s">
        <v>22</v>
      </c>
      <c r="H6" s="107" t="s">
        <v>22</v>
      </c>
      <c r="I6" s="47" t="s">
        <v>165</v>
      </c>
      <c r="J6" s="46" t="s">
        <v>19</v>
      </c>
    </row>
    <row r="7" spans="1:11" x14ac:dyDescent="0.2">
      <c r="A7" s="15"/>
      <c r="B7" s="32"/>
      <c r="C7" s="17" t="s">
        <v>20</v>
      </c>
      <c r="D7" s="20" t="s">
        <v>21</v>
      </c>
      <c r="E7" s="47" t="s">
        <v>53</v>
      </c>
      <c r="F7" s="47" t="s">
        <v>54</v>
      </c>
      <c r="G7" s="88" t="s">
        <v>53</v>
      </c>
      <c r="H7" s="107" t="s">
        <v>54</v>
      </c>
      <c r="I7" s="47" t="s">
        <v>18</v>
      </c>
      <c r="J7" s="46" t="s">
        <v>18</v>
      </c>
    </row>
    <row r="8" spans="1:11" x14ac:dyDescent="0.2">
      <c r="A8" s="15"/>
      <c r="B8" s="32"/>
      <c r="C8" s="17" t="s">
        <v>23</v>
      </c>
      <c r="D8" s="20" t="s">
        <v>24</v>
      </c>
      <c r="E8" s="47"/>
      <c r="F8" s="46"/>
      <c r="G8" s="48"/>
      <c r="H8" s="107"/>
      <c r="I8" s="47" t="s">
        <v>22</v>
      </c>
      <c r="J8" s="46" t="s">
        <v>22</v>
      </c>
    </row>
    <row r="9" spans="1:11" x14ac:dyDescent="0.2">
      <c r="A9" s="15"/>
      <c r="B9" s="32"/>
      <c r="C9" s="134"/>
      <c r="D9" s="20" t="s">
        <v>25</v>
      </c>
      <c r="E9" s="47"/>
      <c r="F9" s="46"/>
      <c r="G9" s="48"/>
      <c r="H9" s="108"/>
      <c r="I9" s="47"/>
      <c r="J9" s="46"/>
    </row>
    <row r="10" spans="1:11" ht="12" thickBot="1" x14ac:dyDescent="0.25">
      <c r="A10" s="21">
        <v>1</v>
      </c>
      <c r="B10" s="22">
        <v>2</v>
      </c>
      <c r="C10" s="132">
        <v>3</v>
      </c>
      <c r="D10" s="22" t="s">
        <v>5</v>
      </c>
      <c r="E10" s="23" t="s">
        <v>6</v>
      </c>
      <c r="F10" s="22" t="s">
        <v>7</v>
      </c>
      <c r="G10" s="24" t="s">
        <v>26</v>
      </c>
      <c r="H10" s="109" t="s">
        <v>26</v>
      </c>
      <c r="I10" s="22" t="s">
        <v>27</v>
      </c>
      <c r="J10" s="22" t="s">
        <v>27</v>
      </c>
    </row>
    <row r="11" spans="1:11" ht="12" hidden="1" thickBot="1" x14ac:dyDescent="0.25">
      <c r="A11" s="21"/>
      <c r="B11" s="20"/>
      <c r="C11" s="20"/>
      <c r="D11" s="20"/>
      <c r="E11" s="20"/>
      <c r="F11" s="20"/>
      <c r="G11" s="89"/>
      <c r="H11" s="110"/>
      <c r="I11" s="18"/>
      <c r="J11" s="18"/>
    </row>
    <row r="12" spans="1:11" ht="18.75" customHeight="1" thickBot="1" x14ac:dyDescent="0.3">
      <c r="A12" s="85" t="s">
        <v>28</v>
      </c>
      <c r="B12" s="86"/>
      <c r="C12" s="75" t="s">
        <v>60</v>
      </c>
      <c r="D12" s="74">
        <f>D13+D14+D15+D22+D23+D24+D25+D26+D27+D28</f>
        <v>1770916.2400000002</v>
      </c>
      <c r="E12" s="74">
        <f>E13+E14+E15+E22+E23+E24+E25+E26+E27+E28</f>
        <v>374412.85</v>
      </c>
      <c r="F12" s="74">
        <f t="shared" ref="F12:J12" si="0">F13+F14+F15+F22+F23+F24+F25+F26+F27+F28</f>
        <v>1770916.2400000002</v>
      </c>
      <c r="G12" s="74">
        <f>G13+G14+G15+G22+G23+G24+G25+G26+G27+G28</f>
        <v>425639.02</v>
      </c>
      <c r="H12" s="111">
        <f t="shared" ref="H12" si="1">H13+H14+H15+H22+H23+H24+H25+H26+H27+H28</f>
        <v>1770916.2400000002</v>
      </c>
      <c r="I12" s="74">
        <f t="shared" ref="I12" si="2">I13+I14+I15+I22+I23+I24+I25+I26+I27+I28</f>
        <v>0</v>
      </c>
      <c r="J12" s="74">
        <f t="shared" si="0"/>
        <v>0</v>
      </c>
    </row>
    <row r="13" spans="1:11" s="13" customFormat="1" ht="19.5" customHeight="1" x14ac:dyDescent="0.2">
      <c r="A13" s="82" t="s">
        <v>73</v>
      </c>
      <c r="B13" s="81">
        <v>611</v>
      </c>
      <c r="C13" s="29" t="s">
        <v>145</v>
      </c>
      <c r="D13" s="27"/>
      <c r="E13" s="27"/>
      <c r="F13" s="28"/>
      <c r="G13" s="28"/>
      <c r="H13" s="112"/>
      <c r="I13" s="27">
        <f>F13-H13</f>
        <v>0</v>
      </c>
      <c r="J13" s="27">
        <f>D13-F13</f>
        <v>0</v>
      </c>
      <c r="K13" s="103"/>
    </row>
    <row r="14" spans="1:11" s="13" customFormat="1" ht="14.25" customHeight="1" x14ac:dyDescent="0.2">
      <c r="A14" s="38" t="s">
        <v>81</v>
      </c>
      <c r="B14" s="84">
        <v>611</v>
      </c>
      <c r="C14" s="29" t="s">
        <v>88</v>
      </c>
      <c r="D14" s="27"/>
      <c r="E14" s="27"/>
      <c r="F14" s="28"/>
      <c r="G14" s="28"/>
      <c r="H14" s="112"/>
      <c r="I14" s="27">
        <f t="shared" ref="I14:I41" si="3">F14-H14</f>
        <v>0</v>
      </c>
      <c r="J14" s="27">
        <f>D14-F14</f>
        <v>0</v>
      </c>
      <c r="K14" s="103"/>
    </row>
    <row r="15" spans="1:11" ht="17.25" customHeight="1" x14ac:dyDescent="0.2">
      <c r="A15" s="25" t="s">
        <v>59</v>
      </c>
      <c r="B15" s="81">
        <v>611</v>
      </c>
      <c r="C15" s="29" t="s">
        <v>89</v>
      </c>
      <c r="D15" s="27">
        <f>SUM(D16:D21)</f>
        <v>442237.75</v>
      </c>
      <c r="E15" s="27">
        <f>SUM(E16:E21)</f>
        <v>100674</v>
      </c>
      <c r="F15" s="27">
        <f t="shared" ref="F15:G15" si="4">SUM(F16:F21)</f>
        <v>442237.75</v>
      </c>
      <c r="G15" s="27">
        <f t="shared" si="4"/>
        <v>126900.17</v>
      </c>
      <c r="H15" s="113">
        <f t="shared" ref="H15:J15" si="5">SUM(H16:H21)</f>
        <v>442237.75</v>
      </c>
      <c r="I15" s="27">
        <f t="shared" si="5"/>
        <v>0</v>
      </c>
      <c r="J15" s="27">
        <f t="shared" si="5"/>
        <v>0</v>
      </c>
    </row>
    <row r="16" spans="1:11" ht="13.5" customHeight="1" x14ac:dyDescent="0.2">
      <c r="A16" s="25" t="s">
        <v>30</v>
      </c>
      <c r="B16" s="84">
        <v>611</v>
      </c>
      <c r="C16" s="29" t="s">
        <v>90</v>
      </c>
      <c r="D16" s="27">
        <v>9000</v>
      </c>
      <c r="E16" s="27">
        <v>2000</v>
      </c>
      <c r="F16" s="51">
        <f>3000+2000+2000+2000</f>
        <v>9000</v>
      </c>
      <c r="G16" s="27">
        <v>2000</v>
      </c>
      <c r="H16" s="114">
        <f>3000+2000+2000+2000</f>
        <v>9000</v>
      </c>
      <c r="I16" s="27">
        <f t="shared" si="3"/>
        <v>0</v>
      </c>
      <c r="J16" s="27">
        <f>D16-F16</f>
        <v>0</v>
      </c>
    </row>
    <row r="17" spans="1:10" ht="13.5" customHeight="1" x14ac:dyDescent="0.2">
      <c r="A17" s="25" t="s">
        <v>31</v>
      </c>
      <c r="B17" s="81">
        <v>611</v>
      </c>
      <c r="C17" s="29" t="s">
        <v>91</v>
      </c>
      <c r="D17" s="27">
        <v>114474</v>
      </c>
      <c r="E17" s="27">
        <f>28700+25000+16894</f>
        <v>70594</v>
      </c>
      <c r="F17" s="51">
        <f>18942+24938+28700+25000+16894</f>
        <v>114474</v>
      </c>
      <c r="G17" s="27">
        <f>22158.75+29440.5+6048.5+16894</f>
        <v>74541.75</v>
      </c>
      <c r="H17" s="114">
        <f>18942+20990.25+22158.75+29440.5+6048.5+16894</f>
        <v>114474</v>
      </c>
      <c r="I17" s="27">
        <f t="shared" si="3"/>
        <v>0</v>
      </c>
      <c r="J17" s="27">
        <f>D17-F17</f>
        <v>0</v>
      </c>
    </row>
    <row r="18" spans="1:10" ht="14.25" customHeight="1" x14ac:dyDescent="0.2">
      <c r="A18" s="25" t="s">
        <v>32</v>
      </c>
      <c r="B18" s="84">
        <v>611</v>
      </c>
      <c r="C18" s="29" t="s">
        <v>92</v>
      </c>
      <c r="D18" s="27"/>
      <c r="E18" s="27"/>
      <c r="F18" s="51"/>
      <c r="G18" s="27"/>
      <c r="H18" s="114"/>
      <c r="I18" s="27">
        <f t="shared" si="3"/>
        <v>0</v>
      </c>
      <c r="J18" s="27">
        <f t="shared" ref="J18:J38" si="6">D18-F18</f>
        <v>0</v>
      </c>
    </row>
    <row r="19" spans="1:10" ht="23.25" customHeight="1" x14ac:dyDescent="0.2">
      <c r="A19" s="25" t="s">
        <v>37</v>
      </c>
      <c r="B19" s="84">
        <v>611</v>
      </c>
      <c r="C19" s="29" t="s">
        <v>93</v>
      </c>
      <c r="D19" s="27">
        <v>50824.22</v>
      </c>
      <c r="E19" s="27"/>
      <c r="F19" s="51">
        <f>4173.23+12078.19+4173.23+4173.23+26226.34</f>
        <v>50824.22</v>
      </c>
      <c r="G19" s="27"/>
      <c r="H19" s="114">
        <f>4173.23+12078.19+4173.23+4173.23+26226.34</f>
        <v>50824.22</v>
      </c>
      <c r="I19" s="27">
        <f t="shared" si="3"/>
        <v>0</v>
      </c>
      <c r="J19" s="27">
        <f t="shared" si="6"/>
        <v>0</v>
      </c>
    </row>
    <row r="20" spans="1:10" ht="12.75" customHeight="1" x14ac:dyDescent="0.2">
      <c r="A20" s="25" t="s">
        <v>33</v>
      </c>
      <c r="B20" s="81">
        <v>611</v>
      </c>
      <c r="C20" s="29" t="s">
        <v>94</v>
      </c>
      <c r="D20" s="27">
        <v>267939.53000000003</v>
      </c>
      <c r="E20" s="27">
        <f>9594+18486</f>
        <v>28080</v>
      </c>
      <c r="F20" s="51">
        <f>1155+1000+5000+1600+18720+1155+1000+8190+3313+1155+1000+1155+1000+119138+1155+1000+1067+9594+2000+2000+2310+2000+20000+2517-0.18+1000+1155+2000+23555.09+1155+1000-7.4+902.51+902.51-27+9594+18486</f>
        <v>267939.53000000003</v>
      </c>
      <c r="G20" s="27">
        <f>20000+9594+20764.42</f>
        <v>50358.42</v>
      </c>
      <c r="H20" s="114">
        <f>1155+1000+5000+1155+1000+18720+1600+3313+8190+1155+1000+1155+1000+116892+1155+1000+9594+2000+2310+2000+3000+2517+1155+1000+23555.09+2000+1155+1000+902.51+902.51+20000+9594+20764.42</f>
        <v>267939.53000000003</v>
      </c>
      <c r="I20" s="27">
        <f t="shared" si="3"/>
        <v>0</v>
      </c>
      <c r="J20" s="27">
        <f t="shared" si="6"/>
        <v>0</v>
      </c>
    </row>
    <row r="21" spans="1:10" ht="12.75" customHeight="1" x14ac:dyDescent="0.2">
      <c r="A21" s="25" t="s">
        <v>65</v>
      </c>
      <c r="B21" s="84">
        <v>611</v>
      </c>
      <c r="C21" s="29" t="s">
        <v>95</v>
      </c>
      <c r="D21" s="27"/>
      <c r="E21" s="27"/>
      <c r="F21" s="51"/>
      <c r="G21" s="27"/>
      <c r="H21" s="114"/>
      <c r="I21" s="27">
        <f t="shared" si="3"/>
        <v>0</v>
      </c>
      <c r="J21" s="27">
        <f t="shared" si="6"/>
        <v>0</v>
      </c>
    </row>
    <row r="22" spans="1:10" ht="14.25" customHeight="1" x14ac:dyDescent="0.25">
      <c r="A22" s="25" t="s">
        <v>125</v>
      </c>
      <c r="B22" s="81">
        <v>611</v>
      </c>
      <c r="C22" s="49" t="s">
        <v>126</v>
      </c>
      <c r="D22" s="27">
        <v>476171.83</v>
      </c>
      <c r="E22" s="27">
        <v>54480.85</v>
      </c>
      <c r="F22" s="51">
        <f>62085.77+81786.52+80282.78+61150.75+59652.66+30818.59+14372.78+4770.73+2232.46+24537.94+54480.85</f>
        <v>476171.83</v>
      </c>
      <c r="G22" s="27">
        <v>54480.85</v>
      </c>
      <c r="H22" s="114">
        <f>62085.77+81786.52+80282.78+61150.75+59652.66+30818.59+14372.78+4770.73+2232.46+24537.94+54480.85</f>
        <v>476171.83</v>
      </c>
      <c r="I22" s="27">
        <f t="shared" si="3"/>
        <v>0</v>
      </c>
      <c r="J22" s="27">
        <f t="shared" si="6"/>
        <v>0</v>
      </c>
    </row>
    <row r="23" spans="1:10" ht="21.75" customHeight="1" x14ac:dyDescent="0.2">
      <c r="A23" s="80" t="s">
        <v>121</v>
      </c>
      <c r="B23" s="81">
        <v>611</v>
      </c>
      <c r="C23" s="29" t="s">
        <v>120</v>
      </c>
      <c r="D23" s="27"/>
      <c r="E23" s="27"/>
      <c r="F23" s="51"/>
      <c r="G23" s="27"/>
      <c r="H23" s="114"/>
      <c r="I23" s="27">
        <f t="shared" si="3"/>
        <v>0</v>
      </c>
      <c r="J23" s="27">
        <f t="shared" si="6"/>
        <v>0</v>
      </c>
    </row>
    <row r="24" spans="1:10" ht="26.25" customHeight="1" x14ac:dyDescent="0.2">
      <c r="A24" s="25" t="s">
        <v>194</v>
      </c>
      <c r="B24" s="84">
        <v>611</v>
      </c>
      <c r="C24" s="29" t="s">
        <v>96</v>
      </c>
      <c r="D24" s="27">
        <v>43171</v>
      </c>
      <c r="E24" s="27">
        <v>18502</v>
      </c>
      <c r="F24" s="51">
        <f>24669+18502</f>
        <v>43171</v>
      </c>
      <c r="G24" s="27">
        <v>18502</v>
      </c>
      <c r="H24" s="114">
        <f>24669+18502</f>
        <v>43171</v>
      </c>
      <c r="I24" s="27">
        <f t="shared" si="3"/>
        <v>0</v>
      </c>
      <c r="J24" s="27">
        <f t="shared" si="6"/>
        <v>0</v>
      </c>
    </row>
    <row r="25" spans="1:10" ht="22.5" customHeight="1" x14ac:dyDescent="0.2">
      <c r="A25" s="25" t="s">
        <v>193</v>
      </c>
      <c r="B25" s="84">
        <v>611</v>
      </c>
      <c r="C25" s="29" t="s">
        <v>97</v>
      </c>
      <c r="D25" s="27">
        <v>7790</v>
      </c>
      <c r="E25" s="27">
        <v>2366</v>
      </c>
      <c r="F25" s="51">
        <f>5424+2366</f>
        <v>7790</v>
      </c>
      <c r="G25" s="27">
        <v>2366</v>
      </c>
      <c r="H25" s="114">
        <f>5424+2366</f>
        <v>7790</v>
      </c>
      <c r="I25" s="27">
        <f t="shared" si="3"/>
        <v>0</v>
      </c>
      <c r="J25" s="27">
        <f t="shared" si="6"/>
        <v>0</v>
      </c>
    </row>
    <row r="26" spans="1:10" ht="32.25" customHeight="1" x14ac:dyDescent="0.2">
      <c r="A26" s="80" t="s">
        <v>192</v>
      </c>
      <c r="B26" s="81">
        <v>611</v>
      </c>
      <c r="C26" s="29" t="s">
        <v>98</v>
      </c>
      <c r="D26" s="27">
        <v>10038.66</v>
      </c>
      <c r="E26" s="39"/>
      <c r="F26" s="51">
        <f>10000+0.18+4.08+7.4+27</f>
        <v>10038.66</v>
      </c>
      <c r="G26" s="39"/>
      <c r="H26" s="114">
        <f>10000+0.18+3.34+0.74+7.4+12+5+10</f>
        <v>10038.66</v>
      </c>
      <c r="I26" s="27">
        <f t="shared" si="3"/>
        <v>0</v>
      </c>
      <c r="J26" s="27">
        <f t="shared" si="6"/>
        <v>0</v>
      </c>
    </row>
    <row r="27" spans="1:10" ht="44.25" customHeight="1" x14ac:dyDescent="0.2">
      <c r="A27" s="80" t="s">
        <v>195</v>
      </c>
      <c r="B27" s="84">
        <v>611</v>
      </c>
      <c r="C27" s="29" t="s">
        <v>141</v>
      </c>
      <c r="D27" s="27"/>
      <c r="E27" s="39"/>
      <c r="F27" s="51"/>
      <c r="G27" s="39"/>
      <c r="H27" s="114"/>
      <c r="I27" s="27">
        <f t="shared" si="3"/>
        <v>0</v>
      </c>
      <c r="J27" s="27">
        <f t="shared" si="6"/>
        <v>0</v>
      </c>
    </row>
    <row r="28" spans="1:10" ht="17.25" customHeight="1" x14ac:dyDescent="0.2">
      <c r="A28" s="25" t="s">
        <v>34</v>
      </c>
      <c r="B28" s="81">
        <v>611</v>
      </c>
      <c r="C28" s="77" t="s">
        <v>99</v>
      </c>
      <c r="D28" s="27">
        <f>SUM(D29:D31)</f>
        <v>791507</v>
      </c>
      <c r="E28" s="27">
        <f t="shared" ref="E28:F28" si="7">SUM(E29:E31)</f>
        <v>198390</v>
      </c>
      <c r="F28" s="27">
        <f t="shared" si="7"/>
        <v>791507</v>
      </c>
      <c r="G28" s="27">
        <f t="shared" ref="G28:J28" si="8">SUM(G29:G31)</f>
        <v>223390</v>
      </c>
      <c r="H28" s="113">
        <f t="shared" si="8"/>
        <v>791507</v>
      </c>
      <c r="I28" s="27">
        <f t="shared" si="8"/>
        <v>0</v>
      </c>
      <c r="J28" s="27">
        <f t="shared" si="8"/>
        <v>0</v>
      </c>
    </row>
    <row r="29" spans="1:10" ht="21.75" customHeight="1" x14ac:dyDescent="0.2">
      <c r="A29" s="25" t="s">
        <v>38</v>
      </c>
      <c r="B29" s="84">
        <v>611</v>
      </c>
      <c r="C29" s="29" t="s">
        <v>100</v>
      </c>
      <c r="D29" s="27">
        <v>110347.5</v>
      </c>
      <c r="E29" s="51"/>
      <c r="F29" s="51">
        <f>93267+17080.5</f>
        <v>110347.5</v>
      </c>
      <c r="G29" s="51"/>
      <c r="H29" s="114">
        <f>93267+17080.5</f>
        <v>110347.5</v>
      </c>
      <c r="I29" s="27">
        <f t="shared" si="3"/>
        <v>0</v>
      </c>
      <c r="J29" s="27">
        <f t="shared" si="6"/>
        <v>0</v>
      </c>
    </row>
    <row r="30" spans="1:10" ht="21.75" customHeight="1" x14ac:dyDescent="0.2">
      <c r="A30" s="25" t="s">
        <v>156</v>
      </c>
      <c r="B30" s="84">
        <v>611</v>
      </c>
      <c r="C30" s="29" t="s">
        <v>155</v>
      </c>
      <c r="D30" s="27"/>
      <c r="E30" s="51"/>
      <c r="F30" s="51"/>
      <c r="G30" s="51"/>
      <c r="H30" s="114"/>
      <c r="I30" s="27">
        <f t="shared" si="3"/>
        <v>0</v>
      </c>
      <c r="J30" s="27">
        <f t="shared" ref="J30" si="9">D30-F30</f>
        <v>0</v>
      </c>
    </row>
    <row r="31" spans="1:10" ht="16.5" customHeight="1" x14ac:dyDescent="0.2">
      <c r="A31" s="35" t="s">
        <v>35</v>
      </c>
      <c r="B31" s="81">
        <v>611</v>
      </c>
      <c r="C31" s="63" t="s">
        <v>101</v>
      </c>
      <c r="D31" s="27">
        <f>SUM(D32:D38)</f>
        <v>681159.5</v>
      </c>
      <c r="E31" s="27">
        <f t="shared" ref="E31:F31" si="10">SUM(E32:E38)</f>
        <v>198390</v>
      </c>
      <c r="F31" s="27">
        <f t="shared" si="10"/>
        <v>681159.5</v>
      </c>
      <c r="G31" s="27">
        <f t="shared" ref="G31:J31" si="11">SUM(G32:G38)</f>
        <v>223390</v>
      </c>
      <c r="H31" s="113">
        <f t="shared" si="11"/>
        <v>681159.5</v>
      </c>
      <c r="I31" s="27">
        <f t="shared" si="11"/>
        <v>0</v>
      </c>
      <c r="J31" s="27">
        <f t="shared" si="11"/>
        <v>0</v>
      </c>
    </row>
    <row r="32" spans="1:10" ht="23.25" customHeight="1" x14ac:dyDescent="0.2">
      <c r="A32" s="35" t="s">
        <v>84</v>
      </c>
      <c r="B32" s="84">
        <v>611</v>
      </c>
      <c r="C32" s="63" t="s">
        <v>102</v>
      </c>
      <c r="D32" s="27"/>
      <c r="E32" s="51"/>
      <c r="F32" s="51"/>
      <c r="G32" s="51"/>
      <c r="H32" s="114"/>
      <c r="I32" s="27">
        <f t="shared" si="3"/>
        <v>0</v>
      </c>
      <c r="J32" s="27">
        <f t="shared" si="6"/>
        <v>0</v>
      </c>
    </row>
    <row r="33" spans="1:21" ht="14.25" customHeight="1" x14ac:dyDescent="0.2">
      <c r="A33" s="35" t="s">
        <v>86</v>
      </c>
      <c r="B33" s="81">
        <v>611</v>
      </c>
      <c r="C33" s="63" t="s">
        <v>103</v>
      </c>
      <c r="D33" s="27"/>
      <c r="E33" s="51"/>
      <c r="F33" s="51"/>
      <c r="G33" s="51"/>
      <c r="H33" s="114"/>
      <c r="I33" s="27">
        <f t="shared" si="3"/>
        <v>0</v>
      </c>
      <c r="J33" s="27">
        <f t="shared" si="6"/>
        <v>0</v>
      </c>
    </row>
    <row r="34" spans="1:21" ht="14.25" customHeight="1" x14ac:dyDescent="0.2">
      <c r="A34" s="35" t="s">
        <v>186</v>
      </c>
      <c r="B34" s="84">
        <v>611</v>
      </c>
      <c r="C34" s="63" t="s">
        <v>104</v>
      </c>
      <c r="D34" s="27">
        <v>495340</v>
      </c>
      <c r="E34" s="51">
        <f>70000+70000+33390+25000</f>
        <v>198390</v>
      </c>
      <c r="F34" s="51">
        <f>10000+22000+20000+20000+42600+20000+8100+12500+12500+23000+61250+20000+25000+70000+70000+33390+25000</f>
        <v>495340</v>
      </c>
      <c r="G34" s="51">
        <f>25000+70000+70000+33390+25000</f>
        <v>223390</v>
      </c>
      <c r="H34" s="114">
        <f>32000+20000+20000+42600+20000+8100+12500+12500+23000+61250+20000+25000+70000+70000+33390+25000</f>
        <v>495340</v>
      </c>
      <c r="I34" s="27">
        <f t="shared" si="3"/>
        <v>0</v>
      </c>
      <c r="J34" s="27">
        <f t="shared" si="6"/>
        <v>0</v>
      </c>
    </row>
    <row r="35" spans="1:21" ht="24.75" customHeight="1" x14ac:dyDescent="0.2">
      <c r="A35" s="35" t="s">
        <v>66</v>
      </c>
      <c r="B35" s="81">
        <v>611</v>
      </c>
      <c r="C35" s="63" t="s">
        <v>105</v>
      </c>
      <c r="D35" s="27"/>
      <c r="E35" s="51"/>
      <c r="F35" s="51"/>
      <c r="G35" s="51"/>
      <c r="H35" s="114"/>
      <c r="I35" s="27">
        <f t="shared" si="3"/>
        <v>0</v>
      </c>
      <c r="J35" s="27">
        <f t="shared" si="6"/>
        <v>0</v>
      </c>
    </row>
    <row r="36" spans="1:21" ht="20.25" customHeight="1" x14ac:dyDescent="0.2">
      <c r="A36" s="35" t="s">
        <v>76</v>
      </c>
      <c r="B36" s="84">
        <v>611</v>
      </c>
      <c r="C36" s="63" t="s">
        <v>106</v>
      </c>
      <c r="D36" s="27"/>
      <c r="E36" s="51"/>
      <c r="F36" s="51"/>
      <c r="G36" s="51"/>
      <c r="H36" s="114"/>
      <c r="I36" s="27">
        <f t="shared" si="3"/>
        <v>0</v>
      </c>
      <c r="J36" s="27">
        <f t="shared" si="6"/>
        <v>0</v>
      </c>
    </row>
    <row r="37" spans="1:21" ht="23.25" customHeight="1" x14ac:dyDescent="0.2">
      <c r="A37" s="35" t="s">
        <v>64</v>
      </c>
      <c r="B37" s="81">
        <v>611</v>
      </c>
      <c r="C37" s="63" t="s">
        <v>107</v>
      </c>
      <c r="D37" s="27">
        <v>185819.5</v>
      </c>
      <c r="E37" s="51"/>
      <c r="F37" s="51">
        <f>3430+41855.5+55000+82900+2634</f>
        <v>185819.5</v>
      </c>
      <c r="G37" s="51"/>
      <c r="H37" s="114">
        <f>3430+41855.5+55000+2000+80900+2634</f>
        <v>185819.5</v>
      </c>
      <c r="I37" s="27">
        <f t="shared" si="3"/>
        <v>0</v>
      </c>
      <c r="J37" s="27">
        <f t="shared" si="6"/>
        <v>0</v>
      </c>
    </row>
    <row r="38" spans="1:21" ht="21.75" customHeight="1" thickBot="1" x14ac:dyDescent="0.25">
      <c r="A38" s="35" t="s">
        <v>68</v>
      </c>
      <c r="B38" s="84">
        <v>611</v>
      </c>
      <c r="C38" s="36" t="s">
        <v>108</v>
      </c>
      <c r="D38" s="27"/>
      <c r="E38" s="55"/>
      <c r="F38" s="51"/>
      <c r="G38" s="55"/>
      <c r="H38" s="114"/>
      <c r="I38" s="27">
        <f t="shared" si="3"/>
        <v>0</v>
      </c>
      <c r="J38" s="27">
        <f t="shared" si="6"/>
        <v>0</v>
      </c>
    </row>
    <row r="39" spans="1:21" ht="22.5" customHeight="1" thickBot="1" x14ac:dyDescent="0.3">
      <c r="A39" s="58" t="s">
        <v>36</v>
      </c>
      <c r="B39" s="73"/>
      <c r="C39" s="60" t="s">
        <v>61</v>
      </c>
      <c r="D39" s="74">
        <f t="shared" ref="D39:J39" si="12">D12</f>
        <v>1770916.2400000002</v>
      </c>
      <c r="E39" s="130">
        <f t="shared" si="12"/>
        <v>374412.85</v>
      </c>
      <c r="F39" s="130">
        <f t="shared" si="12"/>
        <v>1770916.2400000002</v>
      </c>
      <c r="G39" s="74">
        <f t="shared" si="12"/>
        <v>425639.02</v>
      </c>
      <c r="H39" s="111">
        <f t="shared" si="12"/>
        <v>1770916.2400000002</v>
      </c>
      <c r="I39" s="74">
        <f t="shared" si="12"/>
        <v>0</v>
      </c>
      <c r="J39" s="74">
        <f t="shared" si="12"/>
        <v>0</v>
      </c>
    </row>
    <row r="40" spans="1:21" s="13" customFormat="1" ht="14.25" customHeight="1" x14ac:dyDescent="0.2">
      <c r="A40" s="80" t="s">
        <v>72</v>
      </c>
      <c r="B40" s="81">
        <v>611</v>
      </c>
      <c r="C40" s="29" t="s">
        <v>138</v>
      </c>
      <c r="D40" s="27">
        <v>1126463.67</v>
      </c>
      <c r="E40" s="27">
        <f>92142.86+98993.5</f>
        <v>191136.36</v>
      </c>
      <c r="F40" s="27">
        <f>94687.5+79583.33+96477.27+97142.86+45983.1+8280.16+96250+143417.3+51428.57+33586.96+91704.55+96785.71+92142.86+98993.5</f>
        <v>1126463.67</v>
      </c>
      <c r="G40" s="27">
        <f>80163.86+11979+86123.5+12870</f>
        <v>191136.36</v>
      </c>
      <c r="H40" s="113">
        <f>94687.5+79583.33+80969.36+2965.91+12542+81251.36+3262.5+12629+40005.1+5978+7204.16+1076+83737+12513+42012.37+6278+82759.93+12367+44742.57+6686+29219.96+4367+79782.55+11922+84202.71+12583+80163.86+11979+86123.5+12870</f>
        <v>1126463.67</v>
      </c>
      <c r="I40" s="27">
        <f t="shared" si="3"/>
        <v>0</v>
      </c>
      <c r="J40" s="27">
        <f>D40-F40</f>
        <v>0</v>
      </c>
      <c r="K40" s="103" t="s">
        <v>199</v>
      </c>
    </row>
    <row r="41" spans="1:21" s="13" customFormat="1" ht="23.25" customHeight="1" thickBot="1" x14ac:dyDescent="0.25">
      <c r="A41" s="80" t="s">
        <v>73</v>
      </c>
      <c r="B41" s="84">
        <v>611</v>
      </c>
      <c r="C41" s="29" t="s">
        <v>139</v>
      </c>
      <c r="D41" s="27">
        <v>340192.11</v>
      </c>
      <c r="E41" s="27">
        <f>27827.14+29896.04</f>
        <v>57723.18</v>
      </c>
      <c r="F41" s="27">
        <f>28595.63+24034.2+29136.14+29337.15+29067.5+16387.54+58843.46+10143.26+27694.77+29229.28+27827.14+29896.04</f>
        <v>340192.11</v>
      </c>
      <c r="G41" s="28">
        <f>20271.41+4699.29+2672.15+184.29+21778.56+5048.67+2870.82+197.99</f>
        <v>57723.18</v>
      </c>
      <c r="H41" s="113">
        <f>28595.63+17508.36+4058.75+2307.92+159.17+21225+4920.34+2797.84+192.96+21371.43+4954.29+2817.14+194.29+33112.9+7676.2+4364.91+301.03+11937.9+2767.45+1573.65+108.54+30928.3+7169.7+4076.82+281.1+7389.14+1712.93+974.02+67.17+20175+4676.93+2659.43+183.41+21292.86+4936.07+2806.78+193.57+20271.41+4699.29+2672.15+184.29+21778.56+5048.67+2870.82+197.99</f>
        <v>340192.11</v>
      </c>
      <c r="I41" s="27">
        <f t="shared" si="3"/>
        <v>0</v>
      </c>
      <c r="J41" s="27">
        <f>D41-F41</f>
        <v>0</v>
      </c>
      <c r="K41" s="103" t="s">
        <v>199</v>
      </c>
    </row>
    <row r="42" spans="1:21" ht="22.5" customHeight="1" thickBot="1" x14ac:dyDescent="0.3">
      <c r="A42" s="58" t="s">
        <v>36</v>
      </c>
      <c r="B42" s="73"/>
      <c r="C42" s="60" t="s">
        <v>140</v>
      </c>
      <c r="D42" s="74">
        <f>SUM(D40:D41)</f>
        <v>1466655.7799999998</v>
      </c>
      <c r="E42" s="130">
        <f t="shared" ref="E42:J42" si="13">SUM(E40:E41)</f>
        <v>248859.53999999998</v>
      </c>
      <c r="F42" s="130">
        <f t="shared" si="13"/>
        <v>1466655.7799999998</v>
      </c>
      <c r="G42" s="74">
        <f t="shared" si="13"/>
        <v>248859.53999999998</v>
      </c>
      <c r="H42" s="111">
        <f t="shared" ref="H42" si="14">SUM(H40:H41)</f>
        <v>1466655.7799999998</v>
      </c>
      <c r="I42" s="74">
        <f t="shared" ref="I42" si="15">SUM(I40:I41)</f>
        <v>0</v>
      </c>
      <c r="J42" s="74">
        <f t="shared" si="13"/>
        <v>0</v>
      </c>
    </row>
    <row r="43" spans="1:21" s="13" customFormat="1" ht="18.75" customHeight="1" x14ac:dyDescent="0.2">
      <c r="A43" s="82"/>
      <c r="B43" s="78"/>
      <c r="C43" s="26"/>
      <c r="D43" s="27"/>
      <c r="E43" s="27"/>
      <c r="F43" s="51">
        <f>E43</f>
        <v>0</v>
      </c>
      <c r="G43" s="27"/>
      <c r="H43" s="114">
        <f>G43</f>
        <v>0</v>
      </c>
      <c r="I43" s="27"/>
      <c r="J43" s="27"/>
      <c r="K43" s="103"/>
    </row>
    <row r="44" spans="1:21" s="13" customFormat="1" ht="24.75" customHeight="1" x14ac:dyDescent="0.2">
      <c r="A44" s="82" t="s">
        <v>70</v>
      </c>
      <c r="B44" s="84">
        <v>611</v>
      </c>
      <c r="C44" s="29" t="s">
        <v>109</v>
      </c>
      <c r="D44" s="27">
        <f>D45+D48</f>
        <v>24880450</v>
      </c>
      <c r="E44" s="27">
        <f t="shared" ref="E44:F44" si="16">E45+E48</f>
        <v>5467468.5099999998</v>
      </c>
      <c r="F44" s="27">
        <f t="shared" si="16"/>
        <v>24880450.000000004</v>
      </c>
      <c r="G44" s="27">
        <f t="shared" ref="G44" si="17">G45+G48</f>
        <v>2673362.4700000002</v>
      </c>
      <c r="H44" s="113">
        <f t="shared" ref="H44:J44" si="18">H45+H48</f>
        <v>24880450.000000007</v>
      </c>
      <c r="I44" s="27">
        <f t="shared" si="18"/>
        <v>0</v>
      </c>
      <c r="J44" s="27">
        <f t="shared" si="18"/>
        <v>0</v>
      </c>
      <c r="K44" s="103"/>
      <c r="M44" s="135" t="s">
        <v>232</v>
      </c>
      <c r="N44" s="135" t="s">
        <v>234</v>
      </c>
      <c r="O44" s="135" t="s">
        <v>233</v>
      </c>
      <c r="P44" s="135" t="s">
        <v>235</v>
      </c>
      <c r="Q44" s="135"/>
      <c r="S44" s="13" t="s">
        <v>237</v>
      </c>
      <c r="U44" s="13" t="s">
        <v>236</v>
      </c>
    </row>
    <row r="45" spans="1:21" s="13" customFormat="1" ht="14.25" customHeight="1" x14ac:dyDescent="0.2">
      <c r="A45" s="80" t="s">
        <v>71</v>
      </c>
      <c r="B45" s="81">
        <v>611</v>
      </c>
      <c r="C45" s="29" t="s">
        <v>110</v>
      </c>
      <c r="D45" s="27">
        <f>SUM(D46:D47)</f>
        <v>19093128.48</v>
      </c>
      <c r="E45" s="27">
        <f t="shared" ref="E45" si="19">SUM(E46:E47)</f>
        <v>4079908.26</v>
      </c>
      <c r="F45" s="27">
        <f>SUM(F46:F47)</f>
        <v>19093128.480000004</v>
      </c>
      <c r="G45" s="27">
        <f t="shared" ref="G45:J45" si="20">SUM(G46:G47)</f>
        <v>2157051.27</v>
      </c>
      <c r="H45" s="113">
        <f t="shared" si="20"/>
        <v>19093128.480000004</v>
      </c>
      <c r="I45" s="27">
        <f t="shared" si="20"/>
        <v>0</v>
      </c>
      <c r="J45" s="27">
        <f t="shared" si="20"/>
        <v>0</v>
      </c>
      <c r="K45" s="103"/>
    </row>
    <row r="46" spans="1:21" s="13" customFormat="1" ht="14.25" customHeight="1" x14ac:dyDescent="0.2">
      <c r="A46" s="80" t="s">
        <v>72</v>
      </c>
      <c r="B46" s="84">
        <v>611</v>
      </c>
      <c r="C46" s="29" t="s">
        <v>111</v>
      </c>
      <c r="D46" s="27">
        <f>19109400-110388.66-16271.52</f>
        <v>18982739.82</v>
      </c>
      <c r="E46" s="27">
        <f>1184693+14893+470000+660000+1725919.76+16292.18</f>
        <v>4071797.94</v>
      </c>
      <c r="F46" s="51">
        <f>450000+960020+450000+41810+771806+13136.9+450000+1020906+16895+430000+1008051+16250+119121.24+450000+320000+60000+88783.66+896366.03+16161+666865.75+360000+782150.3+462628.34+645884.23+62000+140808+350000+314306+450000+1020686+15229+470000+1110748+15821.5-10605+470000+4324+788.93+1184693+14893+470000+660000+1725919.76+16292.18</f>
        <v>18982739.820000004</v>
      </c>
      <c r="G46" s="28">
        <f>964293.64+209558+16000+10892.87+270000+616000+20000+15000+27196.44</f>
        <v>2148940.9500000002</v>
      </c>
      <c r="H46" s="114">
        <f>450000+960020+450000+36374+5436+599045.64+3860.75+6278.5+3860.75+159679+12218.26+439053+10947+819642.18+9500+9500+184957+14201.82+425000+2500+2500+813922.1+7304.05+8695.95+13873.9+180505+103477.17+13764+444.48+447790.38+2209.62+403153.95+60942+4687.71+730450.91+170542+12969.71+573504.55+86693+6668.2+360000+659139.55+101680+7821.04+399781.81+60433+4648.63+512604.01+121698+9347.04+62000+115302.24+24232+1273.76+11618.35+1756+135.44+260000+301959.54+79496+5903.33+450000+791254.43+179709+13686.98+1305+14030.25+6664+466000+4000+12742.98+910791.17+199583+15294.59+3140.58+8899.9+1345+103.83+470000+4472.84+668+964293.64+209558+16000+10892.87+270000+616000+20000+15000+14174.2+1682666.57+25094.42+73862.81+10023.25+10023.25+10023.25+10023.25+97214+27196.44</f>
        <v>18982739.820000004</v>
      </c>
      <c r="I46" s="27">
        <f t="shared" ref="I46:I51" si="21">F46-H46</f>
        <v>0</v>
      </c>
      <c r="J46" s="27">
        <f t="shared" ref="J46:J100" si="22">D46-F46</f>
        <v>0</v>
      </c>
      <c r="K46" s="103"/>
      <c r="L46" s="13">
        <v>211</v>
      </c>
      <c r="M46" s="13">
        <f>1688553.76-P46</f>
        <v>1656749.67</v>
      </c>
      <c r="N46" s="13">
        <v>17430</v>
      </c>
      <c r="O46" s="13">
        <v>16292.18</v>
      </c>
      <c r="P46" s="13">
        <v>31804.09</v>
      </c>
      <c r="R46" s="13">
        <f>D46-F46-M46-N46-O46</f>
        <v>-1690471.8500000036</v>
      </c>
      <c r="S46" s="13">
        <v>1177591.21</v>
      </c>
      <c r="U46" s="13">
        <f>F46+S46+M46+N46+O46</f>
        <v>21850802.880000003</v>
      </c>
    </row>
    <row r="47" spans="1:21" s="13" customFormat="1" ht="26.25" customHeight="1" x14ac:dyDescent="0.2">
      <c r="A47" s="82" t="s">
        <v>69</v>
      </c>
      <c r="B47" s="81">
        <v>611</v>
      </c>
      <c r="C47" s="29" t="s">
        <v>112</v>
      </c>
      <c r="D47" s="27">
        <v>110388.66</v>
      </c>
      <c r="E47" s="27">
        <f>1989.6+6120.72</f>
        <v>8110.32</v>
      </c>
      <c r="F47" s="51">
        <f>8838.99+59153.61+6457.83+1881.06+2007.3+9717.81+3616.74+10605+1989.6+6120.72</f>
        <v>110388.66000000002</v>
      </c>
      <c r="G47" s="28">
        <f>1989.6+6120.72</f>
        <v>8110.32</v>
      </c>
      <c r="H47" s="114">
        <f>8838.99+59153.61+6457.83+1881.06+2007.3+9717.81+14221.74+1989.6+6120.72</f>
        <v>110388.66000000002</v>
      </c>
      <c r="I47" s="27">
        <f t="shared" si="21"/>
        <v>0</v>
      </c>
      <c r="J47" s="27">
        <f t="shared" si="22"/>
        <v>0</v>
      </c>
      <c r="K47" s="103"/>
      <c r="L47" s="13">
        <v>266</v>
      </c>
      <c r="M47" s="13">
        <v>6120.72</v>
      </c>
      <c r="R47" s="13">
        <f t="shared" ref="R47:R48" si="23">D47-F47-M47-N47-O47+P47</f>
        <v>-6120.7200000000148</v>
      </c>
      <c r="U47" s="13">
        <f t="shared" ref="U47:U48" si="24">F47+S47+M47+N47+O47</f>
        <v>116509.38000000002</v>
      </c>
    </row>
    <row r="48" spans="1:21" s="13" customFormat="1" ht="20.25" customHeight="1" x14ac:dyDescent="0.2">
      <c r="A48" s="82" t="s">
        <v>73</v>
      </c>
      <c r="B48" s="84">
        <v>611</v>
      </c>
      <c r="C48" s="29" t="s">
        <v>113</v>
      </c>
      <c r="D48" s="27">
        <f>5771050+16271.52</f>
        <v>5787321.5199999996</v>
      </c>
      <c r="E48" s="27">
        <f>505584.42+4497.69+872557.9+4920.24</f>
        <v>1387560.25</v>
      </c>
      <c r="F48" s="51">
        <f>431161+386946+3968+454651+439625+4907.5+591211.67+4881+881094+61248+200621+446815+4600+483254+4778.1+505584.42+4497.69+872557.9+4920.24</f>
        <v>5787321.5200000005</v>
      </c>
      <c r="G48" s="28">
        <f>371846.5+86200.8+5867.2+49016.2+3380.5</f>
        <v>516311.2</v>
      </c>
      <c r="H48" s="114">
        <f>431161+280886+65114.5+5334+37026+2553.5+327317+75878+5334+43146.4+2975.6+319946.1+74169.33+5333.76+42174.71+2908.6+429095.77+99472.1+7061.3+56562.6+3900.9+11937.9+2767.45+1573.65+108.54+638884.2+148105.05+84216.6+5808.15-16387.54+44617.7+10343.2+5881.45+405.65+142361.46+33001.97+18765.83+1294.2+2972.14+689+391.8+27.02+315622.98+73167.16+2666.88+41604.85+2869.31+7015+1627+925+64+351245.5+81425.2+5867.2+46301+3193.2+371846.5+86200.8+5867.2+49016.2+3380.5+630272.46+3584.28+146108.61+830.91+9707.13+83081.37+472.48+5729.75+32.59+1500+500+300+179.87</f>
        <v>5787321.5200000033</v>
      </c>
      <c r="I48" s="27">
        <f>F48-H48</f>
        <v>0</v>
      </c>
      <c r="J48" s="27">
        <f t="shared" si="22"/>
        <v>0</v>
      </c>
      <c r="K48" s="103"/>
      <c r="L48" s="13">
        <v>213</v>
      </c>
      <c r="M48" s="13">
        <v>515810.37</v>
      </c>
      <c r="N48" s="13">
        <v>5263.86</v>
      </c>
      <c r="O48" s="13">
        <v>4920.24</v>
      </c>
      <c r="R48" s="13">
        <f t="shared" si="23"/>
        <v>-525994.4700000009</v>
      </c>
      <c r="S48" s="13">
        <v>355632.55</v>
      </c>
      <c r="U48" s="13">
        <f t="shared" si="24"/>
        <v>6668948.540000001</v>
      </c>
    </row>
    <row r="49" spans="1:87" s="13" customFormat="1" ht="15" customHeight="1" x14ac:dyDescent="0.25">
      <c r="A49" s="25" t="s">
        <v>74</v>
      </c>
      <c r="B49" s="84">
        <v>611</v>
      </c>
      <c r="C49" s="30" t="s">
        <v>114</v>
      </c>
      <c r="D49" s="27">
        <f>SUM(D50:D51)</f>
        <v>4324</v>
      </c>
      <c r="E49" s="27">
        <f t="shared" ref="E49:F49" si="25">SUM(E50:E51)</f>
        <v>0</v>
      </c>
      <c r="F49" s="27">
        <f t="shared" si="25"/>
        <v>4324</v>
      </c>
      <c r="G49" s="27">
        <f t="shared" ref="G49:J49" si="26">SUM(G50:G51)</f>
        <v>0</v>
      </c>
      <c r="H49" s="113">
        <f t="shared" si="26"/>
        <v>4324</v>
      </c>
      <c r="I49" s="27">
        <f t="shared" si="26"/>
        <v>0</v>
      </c>
      <c r="J49" s="27">
        <f t="shared" si="26"/>
        <v>0</v>
      </c>
      <c r="K49" s="103"/>
    </row>
    <row r="50" spans="1:87" s="13" customFormat="1" ht="15" customHeight="1" x14ac:dyDescent="0.2">
      <c r="A50" s="25" t="s">
        <v>55</v>
      </c>
      <c r="B50" s="81">
        <v>611</v>
      </c>
      <c r="C50" s="29" t="s">
        <v>115</v>
      </c>
      <c r="D50" s="27">
        <v>4324</v>
      </c>
      <c r="E50" s="27"/>
      <c r="F50" s="51">
        <f>8648-4324</f>
        <v>4324</v>
      </c>
      <c r="G50" s="27"/>
      <c r="H50" s="114">
        <v>4324</v>
      </c>
      <c r="I50" s="27">
        <f t="shared" si="21"/>
        <v>0</v>
      </c>
      <c r="J50" s="27">
        <f t="shared" si="22"/>
        <v>0</v>
      </c>
      <c r="K50" s="103"/>
      <c r="U50" s="13">
        <f>U46+U47+U48</f>
        <v>28636260.800000004</v>
      </c>
    </row>
    <row r="51" spans="1:87" s="13" customFormat="1" ht="23.25" customHeight="1" x14ac:dyDescent="0.2">
      <c r="A51" s="25" t="s">
        <v>37</v>
      </c>
      <c r="B51" s="84">
        <v>611</v>
      </c>
      <c r="C51" s="29" t="s">
        <v>151</v>
      </c>
      <c r="D51" s="27"/>
      <c r="E51" s="27"/>
      <c r="F51" s="51"/>
      <c r="G51" s="27"/>
      <c r="H51" s="114"/>
      <c r="I51" s="27">
        <f t="shared" si="21"/>
        <v>0</v>
      </c>
      <c r="J51" s="27">
        <f t="shared" si="22"/>
        <v>0</v>
      </c>
      <c r="K51" s="103"/>
    </row>
    <row r="52" spans="1:87" s="13" customFormat="1" ht="22.5" customHeight="1" x14ac:dyDescent="0.25">
      <c r="A52" s="25" t="s">
        <v>35</v>
      </c>
      <c r="B52" s="81">
        <v>611</v>
      </c>
      <c r="C52" s="30" t="s">
        <v>116</v>
      </c>
      <c r="D52" s="27">
        <f>SUM(D53:D54)</f>
        <v>354544.98</v>
      </c>
      <c r="E52" s="27">
        <f t="shared" ref="E52" si="27">SUM(E53:E54)</f>
        <v>0</v>
      </c>
      <c r="F52" s="27">
        <f>SUM(F53:F54)</f>
        <v>339676.00000000006</v>
      </c>
      <c r="G52" s="27">
        <f t="shared" ref="G52:J52" si="28">SUM(G53:G54)</f>
        <v>111725.58</v>
      </c>
      <c r="H52" s="113">
        <f t="shared" si="28"/>
        <v>339676.00000000006</v>
      </c>
      <c r="I52" s="27">
        <f t="shared" si="28"/>
        <v>0</v>
      </c>
      <c r="J52" s="27">
        <f t="shared" si="28"/>
        <v>0</v>
      </c>
      <c r="K52" s="103"/>
      <c r="U52" s="13">
        <v>24880450</v>
      </c>
    </row>
    <row r="53" spans="1:87" s="13" customFormat="1" ht="22.5" customHeight="1" x14ac:dyDescent="0.2">
      <c r="A53" s="25" t="s">
        <v>38</v>
      </c>
      <c r="B53" s="84">
        <v>611</v>
      </c>
      <c r="C53" s="29" t="s">
        <v>117</v>
      </c>
      <c r="D53" s="27">
        <f>326814.98-4270</f>
        <v>322544.98</v>
      </c>
      <c r="E53" s="27"/>
      <c r="F53" s="51">
        <f>200000+133178.91-5575-788.93-4270</f>
        <v>322544.98000000004</v>
      </c>
      <c r="G53" s="28">
        <f>61200+46255.58</f>
        <v>107455.58</v>
      </c>
      <c r="H53" s="114">
        <f>2526.4+198043+14520+61200+46255.58</f>
        <v>322544.98000000004</v>
      </c>
      <c r="I53" s="27">
        <f t="shared" ref="I53:I58" si="29">F53-H53</f>
        <v>0</v>
      </c>
      <c r="J53" s="27">
        <f t="shared" si="22"/>
        <v>0</v>
      </c>
      <c r="K53" s="103"/>
    </row>
    <row r="54" spans="1:87" s="13" customFormat="1" ht="17.25" customHeight="1" x14ac:dyDescent="0.2">
      <c r="A54" s="35" t="s">
        <v>35</v>
      </c>
      <c r="B54" s="84">
        <v>611</v>
      </c>
      <c r="C54" s="63" t="s">
        <v>118</v>
      </c>
      <c r="D54" s="27">
        <v>32000</v>
      </c>
      <c r="E54" s="27">
        <f>SUM(E55:E58)</f>
        <v>0</v>
      </c>
      <c r="F54" s="27">
        <f>SUM(F55:F58)</f>
        <v>17131.02</v>
      </c>
      <c r="G54" s="27">
        <f>SUM(G55:G58)</f>
        <v>4270</v>
      </c>
      <c r="H54" s="113">
        <f t="shared" ref="H54:J54" si="30">SUM(H55:H58)</f>
        <v>17131.02</v>
      </c>
      <c r="I54" s="27">
        <f t="shared" si="30"/>
        <v>0</v>
      </c>
      <c r="J54" s="27">
        <f t="shared" si="30"/>
        <v>0</v>
      </c>
      <c r="K54" s="103"/>
    </row>
    <row r="55" spans="1:87" s="13" customFormat="1" ht="17.25" customHeight="1" x14ac:dyDescent="0.2">
      <c r="A55" s="35" t="s">
        <v>66</v>
      </c>
      <c r="B55" s="81">
        <v>611</v>
      </c>
      <c r="C55" s="63" t="s">
        <v>83</v>
      </c>
      <c r="D55" s="27"/>
      <c r="E55" s="39"/>
      <c r="F55" s="51"/>
      <c r="G55" s="39"/>
      <c r="H55" s="114"/>
      <c r="I55" s="27">
        <f t="shared" si="29"/>
        <v>0</v>
      </c>
      <c r="J55" s="27">
        <f t="shared" si="22"/>
        <v>0</v>
      </c>
      <c r="K55" s="103"/>
    </row>
    <row r="56" spans="1:87" s="13" customFormat="1" ht="24.75" customHeight="1" x14ac:dyDescent="0.2">
      <c r="A56" s="35" t="s">
        <v>78</v>
      </c>
      <c r="B56" s="84">
        <v>611</v>
      </c>
      <c r="C56" s="63" t="s">
        <v>77</v>
      </c>
      <c r="D56" s="27"/>
      <c r="E56" s="39"/>
      <c r="F56" s="51"/>
      <c r="G56" s="39"/>
      <c r="H56" s="114"/>
      <c r="I56" s="27">
        <f t="shared" si="29"/>
        <v>0</v>
      </c>
      <c r="J56" s="27">
        <f t="shared" si="22"/>
        <v>0</v>
      </c>
      <c r="K56" s="103"/>
      <c r="R56" s="13">
        <v>0.7</v>
      </c>
      <c r="S56" s="13">
        <f>S46*70%</f>
        <v>824313.84699999995</v>
      </c>
      <c r="T56" s="13">
        <f>S56-8552.81+16434.11</f>
        <v>832195.14699999988</v>
      </c>
      <c r="U56" s="13">
        <f>T56/22</f>
        <v>37827.052136363629</v>
      </c>
    </row>
    <row r="57" spans="1:87" s="13" customFormat="1" ht="20.25" customHeight="1" x14ac:dyDescent="0.2">
      <c r="A57" s="35" t="s">
        <v>64</v>
      </c>
      <c r="B57" s="81">
        <v>611</v>
      </c>
      <c r="C57" s="63" t="s">
        <v>119</v>
      </c>
      <c r="D57" s="39">
        <f>12861.02+4270</f>
        <v>17131.02</v>
      </c>
      <c r="E57" s="39"/>
      <c r="F57" s="51">
        <f>7286.02+5575+4270</f>
        <v>17131.02</v>
      </c>
      <c r="G57" s="51">
        <v>4270</v>
      </c>
      <c r="H57" s="114">
        <f>7286.02+5575+4270</f>
        <v>17131.02</v>
      </c>
      <c r="I57" s="102">
        <f t="shared" si="29"/>
        <v>0</v>
      </c>
      <c r="J57" s="27">
        <f t="shared" ref="J57" si="31">D57-F57</f>
        <v>0</v>
      </c>
      <c r="K57" s="103"/>
      <c r="R57" s="13">
        <v>0.3</v>
      </c>
      <c r="S57" s="13">
        <f>S46*30%</f>
        <v>353277.36299999995</v>
      </c>
      <c r="U57" s="13">
        <f>S57/22</f>
        <v>16058.061954545452</v>
      </c>
    </row>
    <row r="58" spans="1:87" s="13" customFormat="1" ht="20.25" customHeight="1" thickBot="1" x14ac:dyDescent="0.25">
      <c r="A58" s="35" t="s">
        <v>147</v>
      </c>
      <c r="B58" s="81">
        <v>611</v>
      </c>
      <c r="C58" s="36" t="s">
        <v>146</v>
      </c>
      <c r="D58" s="27"/>
      <c r="E58" s="37"/>
      <c r="F58" s="56"/>
      <c r="G58" s="34"/>
      <c r="H58" s="115"/>
      <c r="I58" s="27">
        <f t="shared" si="29"/>
        <v>0</v>
      </c>
      <c r="J58" s="27">
        <f t="shared" si="22"/>
        <v>0</v>
      </c>
      <c r="K58" s="103"/>
    </row>
    <row r="59" spans="1:87" s="13" customFormat="1" ht="19.5" customHeight="1" thickBot="1" x14ac:dyDescent="0.3">
      <c r="A59" s="58" t="s">
        <v>36</v>
      </c>
      <c r="B59" s="59"/>
      <c r="C59" s="68" t="s">
        <v>62</v>
      </c>
      <c r="D59" s="61">
        <f t="shared" ref="D59:J59" si="32">D44+D49+D52</f>
        <v>25239318.98</v>
      </c>
      <c r="E59" s="129">
        <f t="shared" si="32"/>
        <v>5467468.5099999998</v>
      </c>
      <c r="F59" s="129">
        <f t="shared" si="32"/>
        <v>25224450.000000004</v>
      </c>
      <c r="G59" s="61">
        <f t="shared" si="32"/>
        <v>2785088.0500000003</v>
      </c>
      <c r="H59" s="116">
        <f t="shared" si="32"/>
        <v>25224450.000000007</v>
      </c>
      <c r="I59" s="61">
        <f t="shared" si="32"/>
        <v>0</v>
      </c>
      <c r="J59" s="61">
        <f t="shared" si="32"/>
        <v>0</v>
      </c>
      <c r="K59" s="103"/>
    </row>
    <row r="60" spans="1:87" ht="24.75" customHeight="1" x14ac:dyDescent="0.2">
      <c r="A60" s="35" t="s">
        <v>228</v>
      </c>
      <c r="B60" s="145">
        <v>611</v>
      </c>
      <c r="C60" s="29" t="s">
        <v>230</v>
      </c>
      <c r="D60" s="56">
        <v>65668.2</v>
      </c>
      <c r="E60" s="57">
        <v>65668.2</v>
      </c>
      <c r="F60" s="51">
        <f>11884.09+17430+2490+33864.11</f>
        <v>65668.2</v>
      </c>
      <c r="G60" s="57">
        <f>27670.09+4134+4403+29461.11</f>
        <v>65668.2</v>
      </c>
      <c r="H60" s="114">
        <f>G60</f>
        <v>65668.2</v>
      </c>
      <c r="I60" s="27">
        <f>F60-H60</f>
        <v>0</v>
      </c>
      <c r="J60" s="27">
        <f t="shared" ref="J60" si="33">D60-F60</f>
        <v>0</v>
      </c>
      <c r="L60" s="13"/>
      <c r="N60" s="13"/>
      <c r="R60" s="41">
        <v>0.6</v>
      </c>
      <c r="S60" s="41">
        <f>S46*60%</f>
        <v>706554.72599999991</v>
      </c>
      <c r="T60" s="41">
        <f>S60-8552.81+16434.11</f>
        <v>714436.02599999984</v>
      </c>
      <c r="U60" s="13">
        <f>T60/22</f>
        <v>32474.36481818181</v>
      </c>
      <c r="W60" s="13"/>
      <c r="AD60" s="13"/>
      <c r="AF60" s="13"/>
      <c r="AM60" s="13"/>
      <c r="AO60" s="13"/>
      <c r="AV60" s="13"/>
      <c r="AX60" s="13"/>
      <c r="BE60" s="13"/>
      <c r="BG60" s="13"/>
      <c r="BN60" s="13"/>
      <c r="BP60" s="13"/>
      <c r="BW60" s="13"/>
      <c r="BY60" s="13"/>
      <c r="CF60" s="13"/>
      <c r="CH60" s="13"/>
      <c r="CI60" s="13"/>
    </row>
    <row r="61" spans="1:87" ht="35.25" customHeight="1" thickBot="1" x14ac:dyDescent="0.25">
      <c r="A61" s="25" t="s">
        <v>229</v>
      </c>
      <c r="B61" s="147"/>
      <c r="C61" s="29" t="s">
        <v>231</v>
      </c>
      <c r="D61" s="56">
        <v>19831.8</v>
      </c>
      <c r="E61" s="57">
        <v>19831.8</v>
      </c>
      <c r="F61" s="51">
        <f>9604.84+10226.96</f>
        <v>19831.8</v>
      </c>
      <c r="G61" s="57">
        <f>14447.01+3349.07+1904.38+131.34</f>
        <v>19831.800000000003</v>
      </c>
      <c r="H61" s="114">
        <f>G61</f>
        <v>19831.800000000003</v>
      </c>
      <c r="I61" s="27">
        <f>F61-H61</f>
        <v>0</v>
      </c>
      <c r="J61" s="27">
        <f t="shared" si="22"/>
        <v>0</v>
      </c>
      <c r="L61" s="13"/>
      <c r="N61" s="13"/>
      <c r="R61" s="41">
        <v>0.4</v>
      </c>
      <c r="S61" s="41">
        <f>S46*40%</f>
        <v>471036.484</v>
      </c>
      <c r="U61" s="13">
        <f>S61/22</f>
        <v>21410.749272727273</v>
      </c>
      <c r="W61" s="13"/>
      <c r="AD61" s="13"/>
      <c r="AF61" s="13"/>
      <c r="AM61" s="13"/>
      <c r="AO61" s="13"/>
      <c r="AV61" s="13"/>
      <c r="AX61" s="13"/>
      <c r="BE61" s="13"/>
      <c r="BG61" s="13"/>
      <c r="BN61" s="13"/>
      <c r="BP61" s="13"/>
      <c r="BW61" s="13"/>
      <c r="BY61" s="13"/>
      <c r="CF61" s="13"/>
      <c r="CH61" s="13"/>
      <c r="CI61" s="13"/>
    </row>
    <row r="62" spans="1:87" ht="21" customHeight="1" thickBot="1" x14ac:dyDescent="0.3">
      <c r="A62" s="58" t="s">
        <v>36</v>
      </c>
      <c r="B62" s="70"/>
      <c r="C62" s="71" t="s">
        <v>129</v>
      </c>
      <c r="D62" s="72">
        <f>SUM(D60:D61)</f>
        <v>85500</v>
      </c>
      <c r="E62" s="72">
        <f t="shared" ref="E62:J62" si="34">SUM(E60:E61)</f>
        <v>85500</v>
      </c>
      <c r="F62" s="72">
        <f t="shared" si="34"/>
        <v>85500</v>
      </c>
      <c r="G62" s="72">
        <f t="shared" ref="G62:H62" si="35">SUM(G60:G61)</f>
        <v>85500</v>
      </c>
      <c r="H62" s="117">
        <f t="shared" si="35"/>
        <v>85500</v>
      </c>
      <c r="I62" s="72">
        <f t="shared" ref="I62" si="36">SUM(I60:I61)</f>
        <v>0</v>
      </c>
      <c r="J62" s="72">
        <f t="shared" si="34"/>
        <v>0</v>
      </c>
      <c r="L62" s="13"/>
      <c r="N62" s="13"/>
      <c r="U62" s="13"/>
      <c r="W62" s="13"/>
      <c r="AD62" s="13"/>
      <c r="AF62" s="13"/>
      <c r="AM62" s="13"/>
      <c r="AO62" s="13"/>
      <c r="AV62" s="13"/>
      <c r="AX62" s="13"/>
      <c r="BE62" s="13"/>
      <c r="BG62" s="13"/>
      <c r="BN62" s="13"/>
      <c r="BP62" s="13"/>
      <c r="BW62" s="13"/>
      <c r="BY62" s="13"/>
      <c r="CF62" s="13"/>
      <c r="CH62" s="13"/>
      <c r="CI62" s="13"/>
    </row>
    <row r="63" spans="1:87" ht="24.75" customHeight="1" thickBot="1" x14ac:dyDescent="0.3">
      <c r="A63" s="25" t="s">
        <v>38</v>
      </c>
      <c r="B63" s="93" t="s">
        <v>207</v>
      </c>
      <c r="C63" s="29" t="s">
        <v>134</v>
      </c>
      <c r="D63" s="56"/>
      <c r="E63" s="57"/>
      <c r="F63" s="51"/>
      <c r="G63" s="57"/>
      <c r="H63" s="114"/>
      <c r="I63" s="27">
        <f>F63-H63</f>
        <v>0</v>
      </c>
      <c r="J63" s="27">
        <f t="shared" ref="J63" si="37">D63-F63</f>
        <v>0</v>
      </c>
      <c r="L63" s="13"/>
      <c r="N63" s="13"/>
      <c r="U63" s="13"/>
      <c r="W63" s="13"/>
      <c r="AD63" s="13"/>
      <c r="AF63" s="13"/>
      <c r="AM63" s="13"/>
      <c r="AO63" s="13"/>
      <c r="AV63" s="13"/>
      <c r="AX63" s="13"/>
      <c r="BE63" s="13"/>
      <c r="BG63" s="13"/>
      <c r="BN63" s="13"/>
      <c r="BP63" s="13"/>
      <c r="BW63" s="13"/>
      <c r="BY63" s="13"/>
      <c r="CF63" s="13"/>
      <c r="CH63" s="13"/>
      <c r="CI63" s="13"/>
    </row>
    <row r="64" spans="1:87" ht="21" customHeight="1" thickBot="1" x14ac:dyDescent="0.3">
      <c r="A64" s="58" t="s">
        <v>36</v>
      </c>
      <c r="B64" s="70"/>
      <c r="C64" s="71" t="s">
        <v>135</v>
      </c>
      <c r="D64" s="72">
        <f>D63</f>
        <v>0</v>
      </c>
      <c r="E64" s="72">
        <f t="shared" ref="E64" si="38">E63</f>
        <v>0</v>
      </c>
      <c r="F64" s="72">
        <f t="shared" ref="F64:H64" si="39">F63</f>
        <v>0</v>
      </c>
      <c r="G64" s="72">
        <f t="shared" ref="G64" si="40">G63</f>
        <v>0</v>
      </c>
      <c r="H64" s="117">
        <f t="shared" si="39"/>
        <v>0</v>
      </c>
      <c r="I64" s="72">
        <f t="shared" ref="I64:J64" si="41">I63</f>
        <v>0</v>
      </c>
      <c r="J64" s="72">
        <f t="shared" si="41"/>
        <v>0</v>
      </c>
      <c r="L64" s="13"/>
      <c r="N64" s="13"/>
      <c r="U64" s="13"/>
      <c r="W64" s="13"/>
      <c r="AD64" s="13"/>
      <c r="AF64" s="13"/>
      <c r="AM64" s="13"/>
      <c r="AO64" s="13"/>
      <c r="AV64" s="13"/>
      <c r="AX64" s="13"/>
      <c r="BE64" s="13"/>
      <c r="BG64" s="13"/>
      <c r="BN64" s="13"/>
      <c r="BP64" s="13"/>
      <c r="BW64" s="13"/>
      <c r="BY64" s="13"/>
      <c r="CF64" s="13"/>
      <c r="CH64" s="13"/>
      <c r="CI64" s="13"/>
    </row>
    <row r="65" spans="1:87" ht="24.75" customHeight="1" thickBot="1" x14ac:dyDescent="0.3">
      <c r="A65" s="35" t="s">
        <v>132</v>
      </c>
      <c r="B65" s="93" t="s">
        <v>207</v>
      </c>
      <c r="C65" s="29" t="s">
        <v>131</v>
      </c>
      <c r="D65" s="56"/>
      <c r="E65" s="57"/>
      <c r="F65" s="51">
        <f>E65</f>
        <v>0</v>
      </c>
      <c r="G65" s="57"/>
      <c r="H65" s="114">
        <f>G65</f>
        <v>0</v>
      </c>
      <c r="I65" s="27">
        <f>F65-H65</f>
        <v>0</v>
      </c>
      <c r="J65" s="27">
        <f t="shared" si="22"/>
        <v>0</v>
      </c>
      <c r="L65" s="13"/>
      <c r="N65" s="13"/>
      <c r="U65" s="13"/>
      <c r="W65" s="13"/>
      <c r="AD65" s="13"/>
      <c r="AF65" s="13"/>
      <c r="AM65" s="13"/>
      <c r="AO65" s="13"/>
      <c r="AV65" s="13"/>
      <c r="AX65" s="13"/>
      <c r="BE65" s="13"/>
      <c r="BG65" s="13"/>
      <c r="BN65" s="13"/>
      <c r="BP65" s="13"/>
      <c r="BW65" s="13"/>
      <c r="BY65" s="13"/>
      <c r="CF65" s="13"/>
      <c r="CH65" s="13"/>
      <c r="CI65" s="13"/>
    </row>
    <row r="66" spans="1:87" ht="21" customHeight="1" thickBot="1" x14ac:dyDescent="0.3">
      <c r="A66" s="58" t="s">
        <v>36</v>
      </c>
      <c r="B66" s="70"/>
      <c r="C66" s="71" t="s">
        <v>67</v>
      </c>
      <c r="D66" s="72">
        <f>D65</f>
        <v>0</v>
      </c>
      <c r="E66" s="72">
        <f t="shared" ref="E66:J66" si="42">E65</f>
        <v>0</v>
      </c>
      <c r="F66" s="72">
        <f t="shared" si="42"/>
        <v>0</v>
      </c>
      <c r="G66" s="72">
        <f t="shared" ref="G66:H66" si="43">G65</f>
        <v>0</v>
      </c>
      <c r="H66" s="117">
        <f t="shared" si="43"/>
        <v>0</v>
      </c>
      <c r="I66" s="72">
        <f t="shared" ref="I66" si="44">I65</f>
        <v>0</v>
      </c>
      <c r="J66" s="72">
        <f t="shared" si="42"/>
        <v>0</v>
      </c>
      <c r="L66" s="13"/>
      <c r="N66" s="13"/>
      <c r="U66" s="13"/>
      <c r="W66" s="13"/>
      <c r="AD66" s="13"/>
      <c r="AF66" s="13"/>
      <c r="AM66" s="13"/>
      <c r="AO66" s="13"/>
      <c r="AV66" s="13"/>
      <c r="AX66" s="13"/>
      <c r="BE66" s="13"/>
      <c r="BG66" s="13"/>
      <c r="BN66" s="13"/>
      <c r="BP66" s="13"/>
      <c r="BW66" s="13"/>
      <c r="BY66" s="13"/>
      <c r="CF66" s="13"/>
      <c r="CH66" s="13"/>
      <c r="CI66" s="13"/>
    </row>
    <row r="67" spans="1:87" ht="24.75" customHeight="1" thickBot="1" x14ac:dyDescent="0.25">
      <c r="A67" s="35" t="s">
        <v>132</v>
      </c>
      <c r="B67" s="84">
        <v>612</v>
      </c>
      <c r="C67" s="29" t="s">
        <v>133</v>
      </c>
      <c r="D67" s="56"/>
      <c r="E67" s="57"/>
      <c r="F67" s="51">
        <f t="shared" ref="F67:H67" si="45">E67</f>
        <v>0</v>
      </c>
      <c r="G67" s="57"/>
      <c r="H67" s="114">
        <f t="shared" si="45"/>
        <v>0</v>
      </c>
      <c r="I67" s="27">
        <f>F67-H67</f>
        <v>0</v>
      </c>
      <c r="J67" s="27">
        <f t="shared" si="22"/>
        <v>0</v>
      </c>
      <c r="L67" s="13"/>
      <c r="N67" s="13"/>
      <c r="U67" s="13"/>
      <c r="W67" s="13"/>
      <c r="AD67" s="13"/>
      <c r="AF67" s="13"/>
      <c r="AM67" s="13"/>
      <c r="AO67" s="13"/>
      <c r="AV67" s="13"/>
      <c r="AX67" s="13"/>
      <c r="BE67" s="13"/>
      <c r="BG67" s="13"/>
      <c r="BN67" s="13"/>
      <c r="BP67" s="13"/>
      <c r="BW67" s="13"/>
      <c r="BY67" s="13"/>
      <c r="CF67" s="13"/>
      <c r="CH67" s="13"/>
      <c r="CI67" s="13"/>
    </row>
    <row r="68" spans="1:87" ht="21" customHeight="1" thickBot="1" x14ac:dyDescent="0.3">
      <c r="A68" s="58" t="s">
        <v>36</v>
      </c>
      <c r="B68" s="70"/>
      <c r="C68" s="71" t="s">
        <v>80</v>
      </c>
      <c r="D68" s="72">
        <f>D67</f>
        <v>0</v>
      </c>
      <c r="E68" s="72">
        <f t="shared" ref="E68:E74" si="46">E67</f>
        <v>0</v>
      </c>
      <c r="F68" s="72">
        <f t="shared" ref="F68:H74" si="47">F67</f>
        <v>0</v>
      </c>
      <c r="G68" s="72">
        <f t="shared" ref="G68:G74" si="48">G67</f>
        <v>0</v>
      </c>
      <c r="H68" s="117">
        <f t="shared" si="47"/>
        <v>0</v>
      </c>
      <c r="I68" s="72">
        <f t="shared" ref="I68:J74" si="49">I67</f>
        <v>0</v>
      </c>
      <c r="J68" s="72">
        <f t="shared" si="49"/>
        <v>0</v>
      </c>
      <c r="L68" s="13"/>
      <c r="N68" s="13"/>
      <c r="U68" s="13"/>
      <c r="W68" s="13"/>
      <c r="AD68" s="13"/>
      <c r="AF68" s="13"/>
      <c r="AM68" s="13"/>
      <c r="AO68" s="13"/>
      <c r="AV68" s="13"/>
      <c r="AX68" s="13"/>
      <c r="BE68" s="13"/>
      <c r="BG68" s="13"/>
      <c r="BN68" s="13"/>
      <c r="BP68" s="13"/>
      <c r="BW68" s="13"/>
      <c r="BY68" s="13"/>
      <c r="CF68" s="13"/>
      <c r="CH68" s="13"/>
      <c r="CI68" s="13"/>
    </row>
    <row r="69" spans="1:87" ht="24.75" customHeight="1" x14ac:dyDescent="0.2">
      <c r="A69" s="25" t="s">
        <v>37</v>
      </c>
      <c r="B69" s="145" t="s">
        <v>207</v>
      </c>
      <c r="C69" s="29" t="s">
        <v>153</v>
      </c>
      <c r="D69" s="56"/>
      <c r="E69" s="57"/>
      <c r="F69" s="51">
        <f>E69</f>
        <v>0</v>
      </c>
      <c r="G69" s="57"/>
      <c r="H69" s="114">
        <f>G69</f>
        <v>0</v>
      </c>
      <c r="I69" s="27">
        <f>F69-H69</f>
        <v>0</v>
      </c>
      <c r="J69" s="27"/>
      <c r="L69" s="13"/>
      <c r="N69" s="13"/>
      <c r="U69" s="13"/>
      <c r="W69" s="13"/>
      <c r="AD69" s="13"/>
      <c r="AF69" s="13"/>
      <c r="AM69" s="13"/>
      <c r="AO69" s="13"/>
      <c r="AV69" s="13"/>
      <c r="AX69" s="13"/>
      <c r="BE69" s="13"/>
      <c r="BG69" s="13"/>
      <c r="BN69" s="13"/>
      <c r="BP69" s="13"/>
      <c r="BW69" s="13"/>
      <c r="BY69" s="13"/>
      <c r="CF69" s="13"/>
      <c r="CH69" s="13"/>
      <c r="CI69" s="13"/>
    </row>
    <row r="70" spans="1:87" ht="24.75" customHeight="1" x14ac:dyDescent="0.2">
      <c r="A70" s="25" t="s">
        <v>33</v>
      </c>
      <c r="B70" s="146"/>
      <c r="C70" s="29" t="s">
        <v>157</v>
      </c>
      <c r="D70" s="56"/>
      <c r="E70" s="57"/>
      <c r="F70" s="51">
        <f>E70</f>
        <v>0</v>
      </c>
      <c r="G70" s="57"/>
      <c r="H70" s="114">
        <f>G70</f>
        <v>0</v>
      </c>
      <c r="I70" s="27">
        <f t="shared" ref="I70:I100" si="50">F70-H70</f>
        <v>0</v>
      </c>
      <c r="J70" s="27">
        <f t="shared" ref="J70" si="51">D70-F70</f>
        <v>0</v>
      </c>
      <c r="L70" s="13"/>
      <c r="N70" s="13"/>
      <c r="U70" s="13"/>
      <c r="W70" s="13"/>
      <c r="AD70" s="13"/>
      <c r="AF70" s="13"/>
      <c r="AM70" s="13"/>
      <c r="AO70" s="13"/>
      <c r="AV70" s="13"/>
      <c r="AX70" s="13"/>
      <c r="BE70" s="13"/>
      <c r="BG70" s="13"/>
      <c r="BN70" s="13"/>
      <c r="BP70" s="13"/>
      <c r="BW70" s="13"/>
      <c r="BY70" s="13"/>
      <c r="CF70" s="13"/>
      <c r="CH70" s="13"/>
      <c r="CI70" s="13"/>
    </row>
    <row r="71" spans="1:87" ht="24.75" customHeight="1" thickBot="1" x14ac:dyDescent="0.25">
      <c r="A71" s="25" t="s">
        <v>33</v>
      </c>
      <c r="B71" s="147"/>
      <c r="C71" s="29" t="s">
        <v>154</v>
      </c>
      <c r="D71" s="56"/>
      <c r="E71" s="57"/>
      <c r="F71" s="51">
        <f>E71</f>
        <v>0</v>
      </c>
      <c r="G71" s="57"/>
      <c r="H71" s="114">
        <f>G71</f>
        <v>0</v>
      </c>
      <c r="I71" s="27">
        <f t="shared" si="50"/>
        <v>0</v>
      </c>
      <c r="J71" s="27">
        <f t="shared" ref="J71" si="52">D71-F71</f>
        <v>0</v>
      </c>
      <c r="L71" s="13"/>
      <c r="N71" s="13"/>
      <c r="U71" s="13"/>
      <c r="W71" s="13"/>
      <c r="AD71" s="13"/>
      <c r="AF71" s="13"/>
      <c r="AM71" s="13"/>
      <c r="AO71" s="13"/>
      <c r="AV71" s="13"/>
      <c r="AX71" s="13"/>
      <c r="BE71" s="13"/>
      <c r="BG71" s="13"/>
      <c r="BN71" s="13"/>
      <c r="BP71" s="13"/>
      <c r="BW71" s="13"/>
      <c r="BY71" s="13"/>
      <c r="CF71" s="13"/>
      <c r="CH71" s="13"/>
      <c r="CI71" s="13"/>
    </row>
    <row r="72" spans="1:87" ht="21" customHeight="1" thickBot="1" x14ac:dyDescent="0.3">
      <c r="A72" s="58" t="s">
        <v>36</v>
      </c>
      <c r="B72" s="70"/>
      <c r="C72" s="71" t="s">
        <v>136</v>
      </c>
      <c r="D72" s="72">
        <f>SUM(D69:D71)</f>
        <v>0</v>
      </c>
      <c r="E72" s="72">
        <f t="shared" ref="E72:J72" si="53">SUM(E69:E71)</f>
        <v>0</v>
      </c>
      <c r="F72" s="72">
        <f t="shared" si="53"/>
        <v>0</v>
      </c>
      <c r="G72" s="72">
        <f t="shared" ref="G72:H72" si="54">SUM(G69:G71)</f>
        <v>0</v>
      </c>
      <c r="H72" s="117">
        <f t="shared" si="54"/>
        <v>0</v>
      </c>
      <c r="I72" s="72">
        <f t="shared" ref="I72" si="55">SUM(I69:I71)</f>
        <v>0</v>
      </c>
      <c r="J72" s="72">
        <f t="shared" si="53"/>
        <v>0</v>
      </c>
      <c r="L72" s="13"/>
      <c r="N72" s="13"/>
      <c r="U72" s="13"/>
      <c r="W72" s="13"/>
      <c r="AD72" s="13"/>
      <c r="AF72" s="13"/>
      <c r="AM72" s="13"/>
      <c r="AO72" s="13"/>
      <c r="AV72" s="13"/>
      <c r="AX72" s="13"/>
      <c r="BE72" s="13"/>
      <c r="BG72" s="13"/>
      <c r="BN72" s="13"/>
      <c r="BP72" s="13"/>
      <c r="BW72" s="13"/>
      <c r="BY72" s="13"/>
      <c r="CF72" s="13"/>
      <c r="CH72" s="13"/>
      <c r="CI72" s="13"/>
    </row>
    <row r="73" spans="1:87" ht="24.75" customHeight="1" thickBot="1" x14ac:dyDescent="0.3">
      <c r="A73" s="25" t="s">
        <v>37</v>
      </c>
      <c r="B73" s="93" t="s">
        <v>207</v>
      </c>
      <c r="C73" s="29" t="s">
        <v>142</v>
      </c>
      <c r="D73" s="56"/>
      <c r="E73" s="57"/>
      <c r="F73" s="51">
        <f t="shared" ref="F73:H73" si="56">E73</f>
        <v>0</v>
      </c>
      <c r="G73" s="57"/>
      <c r="H73" s="114">
        <f t="shared" si="56"/>
        <v>0</v>
      </c>
      <c r="I73" s="27">
        <f t="shared" si="50"/>
        <v>0</v>
      </c>
      <c r="J73" s="27">
        <f t="shared" ref="J73" si="57">D73-F73</f>
        <v>0</v>
      </c>
      <c r="L73" s="13"/>
      <c r="N73" s="13"/>
      <c r="U73" s="13"/>
      <c r="W73" s="13"/>
      <c r="AD73" s="13"/>
      <c r="AF73" s="13"/>
      <c r="AM73" s="13"/>
      <c r="AO73" s="13"/>
      <c r="AV73" s="13"/>
      <c r="AX73" s="13"/>
      <c r="BE73" s="13"/>
      <c r="BG73" s="13"/>
      <c r="BN73" s="13"/>
      <c r="BP73" s="13"/>
      <c r="BW73" s="13"/>
      <c r="BY73" s="13"/>
      <c r="CF73" s="13"/>
      <c r="CH73" s="13"/>
      <c r="CI73" s="13"/>
    </row>
    <row r="74" spans="1:87" ht="21" customHeight="1" thickBot="1" x14ac:dyDescent="0.3">
      <c r="A74" s="58" t="s">
        <v>36</v>
      </c>
      <c r="B74" s="70"/>
      <c r="C74" s="71" t="s">
        <v>143</v>
      </c>
      <c r="D74" s="72">
        <f>D73</f>
        <v>0</v>
      </c>
      <c r="E74" s="72">
        <f t="shared" si="46"/>
        <v>0</v>
      </c>
      <c r="F74" s="72">
        <f t="shared" si="47"/>
        <v>0</v>
      </c>
      <c r="G74" s="72">
        <f t="shared" si="48"/>
        <v>0</v>
      </c>
      <c r="H74" s="117">
        <f t="shared" si="47"/>
        <v>0</v>
      </c>
      <c r="I74" s="72">
        <f t="shared" si="49"/>
        <v>0</v>
      </c>
      <c r="J74" s="72">
        <f t="shared" si="49"/>
        <v>0</v>
      </c>
      <c r="L74" s="13"/>
      <c r="N74" s="13"/>
      <c r="U74" s="13"/>
      <c r="W74" s="13"/>
      <c r="AD74" s="13"/>
      <c r="AF74" s="13"/>
      <c r="AM74" s="13"/>
      <c r="AO74" s="13"/>
      <c r="AV74" s="13"/>
      <c r="AX74" s="13"/>
      <c r="BE74" s="13"/>
      <c r="BG74" s="13"/>
      <c r="BN74" s="13"/>
      <c r="BP74" s="13"/>
      <c r="BW74" s="13"/>
      <c r="BY74" s="13"/>
      <c r="CF74" s="13"/>
      <c r="CH74" s="13"/>
      <c r="CI74" s="13"/>
    </row>
    <row r="75" spans="1:87" ht="24.75" customHeight="1" x14ac:dyDescent="0.2">
      <c r="A75" s="25" t="s">
        <v>37</v>
      </c>
      <c r="B75" s="145" t="s">
        <v>163</v>
      </c>
      <c r="C75" s="29" t="s">
        <v>127</v>
      </c>
      <c r="D75" s="56">
        <v>20777.8</v>
      </c>
      <c r="E75" s="57"/>
      <c r="F75" s="51">
        <f>3190.26+9276.42+3264.4+5046.72</f>
        <v>20777.8</v>
      </c>
      <c r="G75" s="57"/>
      <c r="H75" s="114">
        <f>1063.42+1063.42+1063.42+1776.62+1776.62+1776.63+1273+2154.5+499.46+19.59+1632.2+1632.2+1207.68+1207.68+849+1436.33+332.97+13.06</f>
        <v>20777.800000000007</v>
      </c>
      <c r="I75" s="27">
        <f t="shared" si="50"/>
        <v>0</v>
      </c>
      <c r="J75" s="27">
        <f t="shared" si="22"/>
        <v>0</v>
      </c>
      <c r="K75" s="124" t="s">
        <v>184</v>
      </c>
      <c r="L75" s="13"/>
      <c r="N75" s="13"/>
      <c r="U75" s="13"/>
      <c r="W75" s="13"/>
      <c r="AD75" s="13"/>
      <c r="AF75" s="13"/>
      <c r="AM75" s="13"/>
      <c r="AO75" s="13"/>
      <c r="AV75" s="13"/>
      <c r="AX75" s="13"/>
      <c r="BE75" s="13"/>
      <c r="BG75" s="13"/>
      <c r="BN75" s="13"/>
      <c r="BP75" s="13"/>
      <c r="BW75" s="13"/>
      <c r="BY75" s="13"/>
      <c r="CF75" s="13"/>
      <c r="CH75" s="13"/>
      <c r="CI75" s="13"/>
    </row>
    <row r="76" spans="1:87" ht="24.75" customHeight="1" thickBot="1" x14ac:dyDescent="0.25">
      <c r="A76" s="25" t="s">
        <v>33</v>
      </c>
      <c r="B76" s="147"/>
      <c r="C76" s="29" t="s">
        <v>159</v>
      </c>
      <c r="D76" s="56"/>
      <c r="E76" s="57"/>
      <c r="F76" s="51">
        <f>E76</f>
        <v>0</v>
      </c>
      <c r="G76" s="57"/>
      <c r="H76" s="114">
        <f>G76</f>
        <v>0</v>
      </c>
      <c r="I76" s="27">
        <f t="shared" si="50"/>
        <v>0</v>
      </c>
      <c r="J76" s="27">
        <f t="shared" ref="J76" si="58">D76-F76</f>
        <v>0</v>
      </c>
      <c r="L76" s="13"/>
      <c r="N76" s="13"/>
      <c r="U76" s="13"/>
      <c r="W76" s="13"/>
      <c r="AD76" s="13"/>
      <c r="AF76" s="13"/>
      <c r="AM76" s="13"/>
      <c r="AO76" s="13"/>
      <c r="AV76" s="13"/>
      <c r="AX76" s="13"/>
      <c r="BE76" s="13"/>
      <c r="BG76" s="13"/>
      <c r="BN76" s="13"/>
      <c r="BP76" s="13"/>
      <c r="BW76" s="13"/>
      <c r="BY76" s="13"/>
      <c r="CF76" s="13"/>
      <c r="CH76" s="13"/>
      <c r="CI76" s="13"/>
    </row>
    <row r="77" spans="1:87" ht="21" customHeight="1" thickBot="1" x14ac:dyDescent="0.3">
      <c r="A77" s="58" t="s">
        <v>36</v>
      </c>
      <c r="B77" s="70"/>
      <c r="C77" s="71" t="s">
        <v>87</v>
      </c>
      <c r="D77" s="72">
        <f>SUM(D75:D76)</f>
        <v>20777.8</v>
      </c>
      <c r="E77" s="127">
        <f t="shared" ref="E77:J77" si="59">SUM(E75:E76)</f>
        <v>0</v>
      </c>
      <c r="F77" s="127">
        <f t="shared" si="59"/>
        <v>20777.8</v>
      </c>
      <c r="G77" s="72">
        <f t="shared" ref="G77:H77" si="60">SUM(G75:G76)</f>
        <v>0</v>
      </c>
      <c r="H77" s="117">
        <f t="shared" si="60"/>
        <v>20777.800000000007</v>
      </c>
      <c r="I77" s="72">
        <f t="shared" ref="I77" si="61">SUM(I75:I76)</f>
        <v>0</v>
      </c>
      <c r="J77" s="72">
        <f t="shared" si="59"/>
        <v>0</v>
      </c>
      <c r="L77" s="13"/>
      <c r="N77" s="13"/>
      <c r="U77" s="13"/>
      <c r="W77" s="13"/>
      <c r="AD77" s="13"/>
      <c r="AF77" s="13"/>
      <c r="AM77" s="13"/>
      <c r="AO77" s="13"/>
      <c r="AV77" s="13"/>
      <c r="AX77" s="13"/>
      <c r="BE77" s="13"/>
      <c r="BG77" s="13"/>
      <c r="BN77" s="13"/>
      <c r="BP77" s="13"/>
      <c r="BW77" s="13"/>
      <c r="BY77" s="13"/>
      <c r="CF77" s="13"/>
      <c r="CH77" s="13"/>
      <c r="CI77" s="13"/>
    </row>
    <row r="78" spans="1:87" ht="24.75" customHeight="1" thickBot="1" x14ac:dyDescent="0.3">
      <c r="A78" s="25" t="s">
        <v>38</v>
      </c>
      <c r="B78" s="93" t="s">
        <v>213</v>
      </c>
      <c r="C78" s="29" t="s">
        <v>215</v>
      </c>
      <c r="D78" s="56">
        <v>213423.4</v>
      </c>
      <c r="E78" s="57"/>
      <c r="F78" s="51">
        <f>213423.4</f>
        <v>213423.4</v>
      </c>
      <c r="G78" s="57"/>
      <c r="H78" s="114">
        <f>173573.4+39330.5+519.5</f>
        <v>213423.4</v>
      </c>
      <c r="I78" s="27">
        <f t="shared" si="50"/>
        <v>0</v>
      </c>
      <c r="J78" s="27">
        <f t="shared" ref="J78" si="62">D78-F78</f>
        <v>0</v>
      </c>
      <c r="K78" s="124" t="s">
        <v>216</v>
      </c>
      <c r="L78" s="13"/>
      <c r="N78" s="13"/>
      <c r="U78" s="13"/>
      <c r="W78" s="13"/>
      <c r="AD78" s="13"/>
      <c r="AF78" s="13"/>
      <c r="AM78" s="13"/>
      <c r="AO78" s="13"/>
      <c r="AV78" s="13"/>
      <c r="AX78" s="13"/>
      <c r="BE78" s="13"/>
      <c r="BG78" s="13"/>
      <c r="BN78" s="13"/>
      <c r="BP78" s="13"/>
      <c r="BW78" s="13"/>
      <c r="BY78" s="13"/>
      <c r="CF78" s="13"/>
      <c r="CH78" s="13"/>
      <c r="CI78" s="13"/>
    </row>
    <row r="79" spans="1:87" ht="21" customHeight="1" thickBot="1" x14ac:dyDescent="0.3">
      <c r="A79" s="58" t="s">
        <v>36</v>
      </c>
      <c r="B79" s="70"/>
      <c r="C79" s="71" t="s">
        <v>152</v>
      </c>
      <c r="D79" s="72">
        <f>D78</f>
        <v>213423.4</v>
      </c>
      <c r="E79" s="127">
        <f t="shared" ref="E79:E81" si="63">E78</f>
        <v>0</v>
      </c>
      <c r="F79" s="127">
        <f t="shared" ref="F79:H81" si="64">F78</f>
        <v>213423.4</v>
      </c>
      <c r="G79" s="72">
        <f t="shared" ref="G79:G81" si="65">G78</f>
        <v>0</v>
      </c>
      <c r="H79" s="117">
        <f t="shared" si="64"/>
        <v>213423.4</v>
      </c>
      <c r="I79" s="72">
        <f t="shared" ref="I79:J81" si="66">I78</f>
        <v>0</v>
      </c>
      <c r="J79" s="72">
        <f t="shared" si="66"/>
        <v>0</v>
      </c>
      <c r="L79" s="13"/>
      <c r="N79" s="13"/>
      <c r="U79" s="13"/>
      <c r="W79" s="13"/>
      <c r="AD79" s="13"/>
      <c r="AF79" s="13"/>
      <c r="AM79" s="13"/>
      <c r="AO79" s="13"/>
      <c r="AV79" s="13"/>
      <c r="AX79" s="13"/>
      <c r="BE79" s="13"/>
      <c r="BG79" s="13"/>
      <c r="BN79" s="13"/>
      <c r="BP79" s="13"/>
      <c r="BW79" s="13"/>
      <c r="BY79" s="13"/>
      <c r="CF79" s="13"/>
      <c r="CH79" s="13"/>
      <c r="CI79" s="13"/>
    </row>
    <row r="80" spans="1:87" ht="24.75" customHeight="1" thickBot="1" x14ac:dyDescent="0.3">
      <c r="A80" s="25" t="s">
        <v>38</v>
      </c>
      <c r="B80" s="93" t="s">
        <v>222</v>
      </c>
      <c r="C80" s="29" t="s">
        <v>221</v>
      </c>
      <c r="D80" s="56">
        <v>244418</v>
      </c>
      <c r="E80" s="57"/>
      <c r="F80" s="51">
        <f>73325+171093</f>
        <v>244418</v>
      </c>
      <c r="G80" s="57"/>
      <c r="H80" s="114">
        <f>73325+171093</f>
        <v>244418</v>
      </c>
      <c r="I80" s="27">
        <f t="shared" si="50"/>
        <v>0</v>
      </c>
      <c r="J80" s="27">
        <f t="shared" si="22"/>
        <v>0</v>
      </c>
      <c r="K80" s="124" t="s">
        <v>223</v>
      </c>
      <c r="L80" s="13"/>
      <c r="N80" s="13"/>
      <c r="U80" s="13"/>
      <c r="W80" s="13"/>
      <c r="AD80" s="13"/>
      <c r="AF80" s="13"/>
      <c r="AM80" s="13"/>
      <c r="AO80" s="13"/>
      <c r="AV80" s="13"/>
      <c r="AX80" s="13"/>
      <c r="BE80" s="13"/>
      <c r="BG80" s="13"/>
      <c r="BN80" s="13"/>
      <c r="BP80" s="13"/>
      <c r="BW80" s="13"/>
      <c r="BY80" s="13"/>
      <c r="CF80" s="13"/>
      <c r="CH80" s="13"/>
      <c r="CI80" s="13"/>
    </row>
    <row r="81" spans="1:87" ht="21" customHeight="1" thickBot="1" x14ac:dyDescent="0.3">
      <c r="A81" s="58" t="s">
        <v>36</v>
      </c>
      <c r="B81" s="70"/>
      <c r="C81" s="71" t="s">
        <v>79</v>
      </c>
      <c r="D81" s="72">
        <f>D80</f>
        <v>244418</v>
      </c>
      <c r="E81" s="127">
        <f t="shared" si="63"/>
        <v>0</v>
      </c>
      <c r="F81" s="127">
        <f t="shared" si="64"/>
        <v>244418</v>
      </c>
      <c r="G81" s="72">
        <f t="shared" si="65"/>
        <v>0</v>
      </c>
      <c r="H81" s="117">
        <f t="shared" si="64"/>
        <v>244418</v>
      </c>
      <c r="I81" s="72">
        <f t="shared" si="66"/>
        <v>0</v>
      </c>
      <c r="J81" s="72">
        <f t="shared" si="66"/>
        <v>0</v>
      </c>
      <c r="L81" s="13"/>
      <c r="N81" s="13"/>
      <c r="U81" s="13"/>
      <c r="W81" s="13"/>
      <c r="AD81" s="13"/>
      <c r="AF81" s="13"/>
      <c r="AM81" s="13"/>
      <c r="AO81" s="13"/>
      <c r="AV81" s="13"/>
      <c r="AX81" s="13"/>
      <c r="BE81" s="13"/>
      <c r="BG81" s="13"/>
      <c r="BN81" s="13"/>
      <c r="BP81" s="13"/>
      <c r="BW81" s="13"/>
      <c r="BY81" s="13"/>
      <c r="CF81" s="13"/>
      <c r="CH81" s="13"/>
      <c r="CI81" s="13"/>
    </row>
    <row r="82" spans="1:87" ht="24.75" customHeight="1" x14ac:dyDescent="0.2">
      <c r="A82" s="25" t="s">
        <v>33</v>
      </c>
      <c r="B82" s="145" t="s">
        <v>225</v>
      </c>
      <c r="C82" s="29" t="s">
        <v>226</v>
      </c>
      <c r="D82" s="56">
        <v>2500</v>
      </c>
      <c r="E82" s="57"/>
      <c r="F82" s="51">
        <v>2500</v>
      </c>
      <c r="G82" s="57">
        <v>2500</v>
      </c>
      <c r="H82" s="114">
        <v>2500</v>
      </c>
      <c r="I82" s="27">
        <f t="shared" si="50"/>
        <v>0</v>
      </c>
      <c r="J82" s="27">
        <f t="shared" ref="J82" si="67">D82-F82</f>
        <v>0</v>
      </c>
      <c r="K82" s="124" t="s">
        <v>224</v>
      </c>
      <c r="L82" s="13"/>
      <c r="N82" s="13"/>
      <c r="U82" s="13"/>
      <c r="W82" s="13"/>
      <c r="AD82" s="13"/>
      <c r="AF82" s="13"/>
      <c r="AM82" s="13"/>
      <c r="AO82" s="13"/>
      <c r="AV82" s="13"/>
      <c r="AX82" s="13"/>
      <c r="BE82" s="13"/>
      <c r="BG82" s="13"/>
      <c r="BN82" s="13"/>
      <c r="BP82" s="13"/>
      <c r="BW82" s="13"/>
      <c r="BY82" s="13"/>
      <c r="CF82" s="13"/>
      <c r="CH82" s="13"/>
      <c r="CI82" s="13"/>
    </row>
    <row r="83" spans="1:87" ht="24.75" customHeight="1" thickBot="1" x14ac:dyDescent="0.25">
      <c r="A83" s="25" t="s">
        <v>38</v>
      </c>
      <c r="B83" s="147"/>
      <c r="C83" s="29" t="s">
        <v>197</v>
      </c>
      <c r="D83" s="56"/>
      <c r="E83" s="57"/>
      <c r="F83" s="51"/>
      <c r="G83" s="57"/>
      <c r="H83" s="114"/>
      <c r="I83" s="27">
        <f t="shared" si="50"/>
        <v>0</v>
      </c>
      <c r="J83" s="27">
        <f t="shared" ref="J83" si="68">D83-F83</f>
        <v>0</v>
      </c>
      <c r="L83" s="13"/>
      <c r="N83" s="13"/>
      <c r="U83" s="13"/>
      <c r="W83" s="13"/>
      <c r="AD83" s="13"/>
      <c r="AF83" s="13"/>
      <c r="AM83" s="13"/>
      <c r="AO83" s="13"/>
      <c r="AV83" s="13"/>
      <c r="AX83" s="13"/>
      <c r="BE83" s="13"/>
      <c r="BG83" s="13"/>
      <c r="BN83" s="13"/>
      <c r="BP83" s="13"/>
      <c r="BW83" s="13"/>
      <c r="BY83" s="13"/>
      <c r="CF83" s="13"/>
      <c r="CH83" s="13"/>
      <c r="CI83" s="13"/>
    </row>
    <row r="84" spans="1:87" ht="21" customHeight="1" thickBot="1" x14ac:dyDescent="0.3">
      <c r="A84" s="58" t="s">
        <v>36</v>
      </c>
      <c r="B84" s="70"/>
      <c r="C84" s="71" t="s">
        <v>158</v>
      </c>
      <c r="D84" s="72">
        <f>SUM(D82:D83)</f>
        <v>2500</v>
      </c>
      <c r="E84" s="127">
        <f t="shared" ref="E84:J84" si="69">SUM(E82:E83)</f>
        <v>0</v>
      </c>
      <c r="F84" s="127">
        <f t="shared" si="69"/>
        <v>2500</v>
      </c>
      <c r="G84" s="72">
        <f t="shared" ref="G84:H84" si="70">SUM(G82:G83)</f>
        <v>2500</v>
      </c>
      <c r="H84" s="117">
        <f t="shared" si="70"/>
        <v>2500</v>
      </c>
      <c r="I84" s="72">
        <f t="shared" ref="I84" si="71">SUM(I82:I83)</f>
        <v>0</v>
      </c>
      <c r="J84" s="72">
        <f t="shared" si="69"/>
        <v>0</v>
      </c>
      <c r="L84" s="13"/>
      <c r="N84" s="13"/>
      <c r="U84" s="13"/>
      <c r="W84" s="13"/>
      <c r="AD84" s="13"/>
      <c r="AF84" s="13"/>
      <c r="AM84" s="13"/>
      <c r="AO84" s="13"/>
      <c r="AV84" s="13"/>
      <c r="AX84" s="13"/>
      <c r="BE84" s="13"/>
      <c r="BG84" s="13"/>
      <c r="BN84" s="13"/>
      <c r="BP84" s="13"/>
      <c r="BW84" s="13"/>
      <c r="BY84" s="13"/>
      <c r="CF84" s="13"/>
      <c r="CH84" s="13"/>
      <c r="CI84" s="13"/>
    </row>
    <row r="85" spans="1:87" ht="24.75" customHeight="1" x14ac:dyDescent="0.2">
      <c r="A85" s="35" t="s">
        <v>75</v>
      </c>
      <c r="B85" s="145" t="s">
        <v>204</v>
      </c>
      <c r="C85" s="29" t="s">
        <v>202</v>
      </c>
      <c r="D85" s="56">
        <v>282206</v>
      </c>
      <c r="E85" s="57">
        <f>20000-5928+29857</f>
        <v>43929</v>
      </c>
      <c r="F85" s="51">
        <f>30972-4448+16000+31000-9730+18448+20000-5304+13755+10000+45000+10000-6416+9000+60000+20000-5928+29857</f>
        <v>282206</v>
      </c>
      <c r="G85" s="57">
        <f>18965.5+97547.5</f>
        <v>116513</v>
      </c>
      <c r="H85" s="114">
        <f>32794+31000+18448+28451+10000+45000+18965.5+97547.5</f>
        <v>282206</v>
      </c>
      <c r="I85" s="27">
        <f t="shared" si="50"/>
        <v>0</v>
      </c>
      <c r="J85" s="27">
        <f t="shared" si="22"/>
        <v>0</v>
      </c>
      <c r="K85" s="124" t="s">
        <v>188</v>
      </c>
      <c r="L85" s="13"/>
      <c r="N85" s="13"/>
      <c r="U85" s="13"/>
      <c r="W85" s="13"/>
      <c r="AD85" s="13"/>
      <c r="AF85" s="13"/>
      <c r="AM85" s="13"/>
      <c r="AO85" s="13"/>
      <c r="AV85" s="13"/>
      <c r="AX85" s="13"/>
      <c r="BE85" s="13"/>
      <c r="BG85" s="13"/>
      <c r="BN85" s="13"/>
      <c r="BP85" s="13"/>
      <c r="BW85" s="13"/>
      <c r="BY85" s="13"/>
      <c r="CF85" s="13"/>
      <c r="CH85" s="13"/>
      <c r="CI85" s="13"/>
    </row>
    <row r="86" spans="1:87" ht="24.75" customHeight="1" thickBot="1" x14ac:dyDescent="0.25">
      <c r="A86" s="25" t="s">
        <v>144</v>
      </c>
      <c r="B86" s="147"/>
      <c r="C86" s="40" t="s">
        <v>203</v>
      </c>
      <c r="D86" s="56">
        <v>38378</v>
      </c>
      <c r="E86" s="57">
        <v>5928</v>
      </c>
      <c r="F86" s="51">
        <f>4448+9730+6552+5304+6416+5928</f>
        <v>38378</v>
      </c>
      <c r="G86" s="57">
        <v>5928</v>
      </c>
      <c r="H86" s="114">
        <f>4448+9730+3276+3276+2652+2652+6416+5928</f>
        <v>38378</v>
      </c>
      <c r="I86" s="27">
        <f t="shared" si="50"/>
        <v>0</v>
      </c>
      <c r="J86" s="27">
        <f t="shared" ref="J86" si="72">D86-F86</f>
        <v>0</v>
      </c>
      <c r="K86" s="124" t="s">
        <v>189</v>
      </c>
      <c r="L86" s="13"/>
      <c r="N86" s="13"/>
      <c r="U86" s="13"/>
      <c r="W86" s="13"/>
      <c r="AD86" s="13"/>
      <c r="AF86" s="13"/>
      <c r="AM86" s="13"/>
      <c r="AO86" s="13"/>
      <c r="AV86" s="13"/>
      <c r="AX86" s="13"/>
      <c r="BE86" s="13"/>
      <c r="BG86" s="13"/>
      <c r="BN86" s="13"/>
      <c r="BP86" s="13"/>
      <c r="BW86" s="13"/>
      <c r="BY86" s="13"/>
      <c r="CF86" s="13"/>
      <c r="CH86" s="13"/>
      <c r="CI86" s="13"/>
    </row>
    <row r="87" spans="1:87" ht="21" customHeight="1" thickBot="1" x14ac:dyDescent="0.3">
      <c r="A87" s="58" t="s">
        <v>36</v>
      </c>
      <c r="B87" s="70"/>
      <c r="C87" s="71" t="s">
        <v>82</v>
      </c>
      <c r="D87" s="72">
        <f>SUM(D85:D86)</f>
        <v>320584</v>
      </c>
      <c r="E87" s="127">
        <f t="shared" ref="E87:J87" si="73">SUM(E85:E86)</f>
        <v>49857</v>
      </c>
      <c r="F87" s="127">
        <f t="shared" si="73"/>
        <v>320584</v>
      </c>
      <c r="G87" s="72">
        <f t="shared" ref="G87:H87" si="74">SUM(G85:G86)</f>
        <v>122441</v>
      </c>
      <c r="H87" s="117">
        <f t="shared" si="74"/>
        <v>320584</v>
      </c>
      <c r="I87" s="72">
        <f t="shared" ref="I87" si="75">SUM(I85:I86)</f>
        <v>0</v>
      </c>
      <c r="J87" s="72">
        <f t="shared" si="73"/>
        <v>0</v>
      </c>
      <c r="L87" s="13"/>
      <c r="N87" s="13"/>
      <c r="U87" s="13"/>
      <c r="W87" s="13"/>
      <c r="AD87" s="13"/>
      <c r="AF87" s="13"/>
      <c r="AM87" s="13"/>
      <c r="AO87" s="13"/>
      <c r="AV87" s="13"/>
      <c r="AX87" s="13"/>
      <c r="BE87" s="13"/>
      <c r="BG87" s="13"/>
      <c r="BN87" s="13"/>
      <c r="BP87" s="13"/>
      <c r="BW87" s="13"/>
      <c r="BY87" s="13"/>
      <c r="CF87" s="13"/>
      <c r="CH87" s="13"/>
      <c r="CI87" s="13"/>
    </row>
    <row r="88" spans="1:87" ht="24.75" customHeight="1" thickBot="1" x14ac:dyDescent="0.3">
      <c r="A88" s="35" t="s">
        <v>75</v>
      </c>
      <c r="B88" s="93" t="s">
        <v>166</v>
      </c>
      <c r="C88" s="29" t="s">
        <v>205</v>
      </c>
      <c r="D88" s="56">
        <v>78592.5</v>
      </c>
      <c r="E88" s="57">
        <v>13887</v>
      </c>
      <c r="F88" s="51">
        <f>7371+6520.5+7000+6000+8000+2814+10000+5000+5000+7000+13887</f>
        <v>78592.5</v>
      </c>
      <c r="G88" s="57">
        <f>9009+10710+10962</f>
        <v>30681</v>
      </c>
      <c r="H88" s="114">
        <f>14571.9+7881.3+9525.6+15932.7+9009+10710+10962</f>
        <v>78592.5</v>
      </c>
      <c r="I88" s="27">
        <f t="shared" si="50"/>
        <v>0</v>
      </c>
      <c r="J88" s="27">
        <f t="shared" si="22"/>
        <v>0</v>
      </c>
      <c r="K88" s="124" t="s">
        <v>190</v>
      </c>
      <c r="L88" s="13"/>
      <c r="N88" s="13"/>
      <c r="U88" s="13"/>
      <c r="W88" s="13"/>
      <c r="AD88" s="13"/>
      <c r="AF88" s="13"/>
      <c r="AM88" s="13"/>
      <c r="AO88" s="13"/>
      <c r="AV88" s="13"/>
      <c r="AX88" s="13"/>
      <c r="BE88" s="13"/>
      <c r="BG88" s="13"/>
      <c r="BN88" s="13"/>
      <c r="BP88" s="13"/>
      <c r="BW88" s="13"/>
      <c r="BY88" s="13"/>
      <c r="CF88" s="13"/>
      <c r="CH88" s="13"/>
      <c r="CI88" s="13"/>
    </row>
    <row r="89" spans="1:87" ht="21" customHeight="1" thickBot="1" x14ac:dyDescent="0.3">
      <c r="A89" s="58" t="s">
        <v>36</v>
      </c>
      <c r="B89" s="70"/>
      <c r="C89" s="71" t="s">
        <v>85</v>
      </c>
      <c r="D89" s="72">
        <f>D88</f>
        <v>78592.5</v>
      </c>
      <c r="E89" s="127">
        <f t="shared" ref="E89" si="76">E88</f>
        <v>13887</v>
      </c>
      <c r="F89" s="127">
        <f t="shared" ref="F89:H89" si="77">F88</f>
        <v>78592.5</v>
      </c>
      <c r="G89" s="72">
        <f t="shared" ref="G89" si="78">G88</f>
        <v>30681</v>
      </c>
      <c r="H89" s="117">
        <f t="shared" si="77"/>
        <v>78592.5</v>
      </c>
      <c r="I89" s="72">
        <f t="shared" ref="I89:J89" si="79">I88</f>
        <v>0</v>
      </c>
      <c r="J89" s="72">
        <f t="shared" si="79"/>
        <v>0</v>
      </c>
      <c r="L89" s="13"/>
      <c r="N89" s="13"/>
      <c r="U89" s="13"/>
      <c r="W89" s="13"/>
      <c r="AD89" s="13"/>
      <c r="AF89" s="13"/>
      <c r="AM89" s="13"/>
      <c r="AO89" s="13"/>
      <c r="AV89" s="13"/>
      <c r="AX89" s="13"/>
      <c r="BE89" s="13"/>
      <c r="BG89" s="13"/>
      <c r="BN89" s="13"/>
      <c r="BP89" s="13"/>
      <c r="BW89" s="13"/>
      <c r="BY89" s="13"/>
      <c r="CF89" s="13"/>
      <c r="CH89" s="13"/>
      <c r="CI89" s="13"/>
    </row>
    <row r="90" spans="1:87" ht="24.75" customHeight="1" thickBot="1" x14ac:dyDescent="0.3">
      <c r="A90" s="35" t="s">
        <v>75</v>
      </c>
      <c r="B90" s="93" t="s">
        <v>164</v>
      </c>
      <c r="C90" s="29" t="s">
        <v>206</v>
      </c>
      <c r="D90" s="56">
        <v>722604</v>
      </c>
      <c r="E90" s="57">
        <v>100040</v>
      </c>
      <c r="F90" s="51">
        <f>15984+74016+60000+70208+70000+67356+5000+150000+110000+100040</f>
        <v>722604</v>
      </c>
      <c r="G90" s="57">
        <f>35000+105000+100040</f>
        <v>240040</v>
      </c>
      <c r="H90" s="114">
        <f>90000+60000+70000+67356+70208+115000+10000+35000+105000+100040</f>
        <v>722604</v>
      </c>
      <c r="I90" s="27">
        <f t="shared" si="50"/>
        <v>0</v>
      </c>
      <c r="J90" s="27">
        <f t="shared" si="22"/>
        <v>0</v>
      </c>
      <c r="K90" s="124" t="s">
        <v>187</v>
      </c>
      <c r="L90" s="13"/>
      <c r="N90" s="13"/>
      <c r="U90" s="13"/>
      <c r="W90" s="13"/>
      <c r="AD90" s="13"/>
      <c r="AF90" s="13"/>
      <c r="AM90" s="13"/>
      <c r="AO90" s="13"/>
      <c r="AV90" s="13"/>
      <c r="AX90" s="13"/>
      <c r="BE90" s="13"/>
      <c r="BG90" s="13"/>
      <c r="BN90" s="13"/>
      <c r="BP90" s="13"/>
      <c r="BW90" s="13"/>
      <c r="BY90" s="13"/>
      <c r="CF90" s="13"/>
      <c r="CH90" s="13"/>
      <c r="CI90" s="13"/>
    </row>
    <row r="91" spans="1:87" ht="21" customHeight="1" thickBot="1" x14ac:dyDescent="0.3">
      <c r="A91" s="58" t="s">
        <v>36</v>
      </c>
      <c r="B91" s="70"/>
      <c r="C91" s="71" t="s">
        <v>122</v>
      </c>
      <c r="D91" s="72">
        <f>D90</f>
        <v>722604</v>
      </c>
      <c r="E91" s="127">
        <f t="shared" ref="E91" si="80">E90</f>
        <v>100040</v>
      </c>
      <c r="F91" s="127">
        <f t="shared" ref="F91:H91" si="81">F90</f>
        <v>722604</v>
      </c>
      <c r="G91" s="72">
        <f t="shared" ref="G91" si="82">G90</f>
        <v>240040</v>
      </c>
      <c r="H91" s="117">
        <f t="shared" si="81"/>
        <v>722604</v>
      </c>
      <c r="I91" s="72">
        <f t="shared" ref="I91:J91" si="83">I90</f>
        <v>0</v>
      </c>
      <c r="J91" s="72">
        <f t="shared" si="83"/>
        <v>0</v>
      </c>
      <c r="L91" s="13"/>
      <c r="N91" s="13"/>
      <c r="U91" s="13"/>
      <c r="W91" s="13"/>
      <c r="AD91" s="13"/>
      <c r="AF91" s="13"/>
      <c r="AM91" s="13"/>
      <c r="AO91" s="13"/>
      <c r="AV91" s="13"/>
      <c r="AX91" s="13"/>
      <c r="BE91" s="13"/>
      <c r="BG91" s="13"/>
      <c r="BN91" s="13"/>
      <c r="BP91" s="13"/>
      <c r="BW91" s="13"/>
      <c r="BY91" s="13"/>
      <c r="CF91" s="13"/>
      <c r="CH91" s="13"/>
      <c r="CI91" s="13"/>
    </row>
    <row r="92" spans="1:87" ht="24.75" customHeight="1" thickBot="1" x14ac:dyDescent="0.3">
      <c r="A92" s="35" t="s">
        <v>75</v>
      </c>
      <c r="B92" s="93" t="s">
        <v>207</v>
      </c>
      <c r="C92" s="29" t="s">
        <v>130</v>
      </c>
      <c r="D92" s="56"/>
      <c r="E92" s="57"/>
      <c r="F92" s="51"/>
      <c r="G92" s="57"/>
      <c r="H92" s="114"/>
      <c r="I92" s="27">
        <f t="shared" si="50"/>
        <v>0</v>
      </c>
      <c r="J92" s="27">
        <f t="shared" si="22"/>
        <v>0</v>
      </c>
      <c r="L92" s="13"/>
      <c r="N92" s="13"/>
      <c r="U92" s="13"/>
      <c r="W92" s="13"/>
      <c r="AD92" s="13"/>
      <c r="AF92" s="13"/>
      <c r="AM92" s="13"/>
      <c r="AO92" s="13"/>
      <c r="AV92" s="13"/>
      <c r="AX92" s="13"/>
      <c r="BE92" s="13"/>
      <c r="BG92" s="13"/>
      <c r="BN92" s="13"/>
      <c r="BP92" s="13"/>
      <c r="BW92" s="13"/>
      <c r="BY92" s="13"/>
      <c r="CF92" s="13"/>
      <c r="CH92" s="13"/>
      <c r="CI92" s="13"/>
    </row>
    <row r="93" spans="1:87" ht="21" customHeight="1" thickBot="1" x14ac:dyDescent="0.3">
      <c r="A93" s="58" t="s">
        <v>36</v>
      </c>
      <c r="B93" s="70"/>
      <c r="C93" s="71" t="s">
        <v>123</v>
      </c>
      <c r="D93" s="72">
        <f>D92</f>
        <v>0</v>
      </c>
      <c r="E93" s="72">
        <f t="shared" ref="E93" si="84">E92</f>
        <v>0</v>
      </c>
      <c r="F93" s="72">
        <f t="shared" ref="F93:H93" si="85">F92</f>
        <v>0</v>
      </c>
      <c r="G93" s="72">
        <f t="shared" ref="G93" si="86">G92</f>
        <v>0</v>
      </c>
      <c r="H93" s="117">
        <f t="shared" si="85"/>
        <v>0</v>
      </c>
      <c r="I93" s="72">
        <f t="shared" ref="I93:J93" si="87">I92</f>
        <v>0</v>
      </c>
      <c r="J93" s="72">
        <f t="shared" si="87"/>
        <v>0</v>
      </c>
      <c r="L93" s="13"/>
      <c r="N93" s="13"/>
      <c r="U93" s="13"/>
      <c r="W93" s="13"/>
      <c r="AD93" s="13"/>
      <c r="AF93" s="13"/>
      <c r="AM93" s="13"/>
      <c r="AO93" s="13"/>
      <c r="AV93" s="13"/>
      <c r="AX93" s="13"/>
      <c r="BE93" s="13"/>
      <c r="BG93" s="13"/>
      <c r="BN93" s="13"/>
      <c r="BP93" s="13"/>
      <c r="BW93" s="13"/>
      <c r="BY93" s="13"/>
      <c r="CF93" s="13"/>
      <c r="CH93" s="13"/>
      <c r="CI93" s="13"/>
    </row>
    <row r="94" spans="1:87" ht="24.75" customHeight="1" x14ac:dyDescent="0.2">
      <c r="A94" s="35" t="s">
        <v>148</v>
      </c>
      <c r="B94" s="145" t="s">
        <v>220</v>
      </c>
      <c r="C94" s="29" t="s">
        <v>217</v>
      </c>
      <c r="D94" s="56">
        <v>7189260</v>
      </c>
      <c r="E94" s="126"/>
      <c r="F94" s="114">
        <f>3189080.32+3580755.15+419424.53</f>
        <v>7189260</v>
      </c>
      <c r="G94" s="57"/>
      <c r="H94" s="114">
        <f>3189080.32+3580755.15+419424.53</f>
        <v>7189260</v>
      </c>
      <c r="I94" s="27">
        <f t="shared" si="50"/>
        <v>0</v>
      </c>
      <c r="J94" s="27">
        <f t="shared" ref="J94" si="88">D94-F94</f>
        <v>0</v>
      </c>
      <c r="K94" s="124" t="s">
        <v>218</v>
      </c>
      <c r="L94" s="13"/>
      <c r="N94" s="13"/>
      <c r="U94" s="13"/>
      <c r="W94" s="13"/>
      <c r="AD94" s="13"/>
      <c r="AF94" s="13"/>
      <c r="AM94" s="13"/>
      <c r="AO94" s="13"/>
      <c r="AV94" s="13"/>
      <c r="AX94" s="13"/>
      <c r="BE94" s="13"/>
      <c r="BG94" s="13"/>
      <c r="BN94" s="13"/>
      <c r="BP94" s="13"/>
      <c r="BW94" s="13"/>
      <c r="BY94" s="13"/>
      <c r="CF94" s="13"/>
      <c r="CH94" s="13"/>
      <c r="CI94" s="13"/>
    </row>
    <row r="95" spans="1:87" ht="24.75" customHeight="1" x14ac:dyDescent="0.2">
      <c r="A95" s="35" t="s">
        <v>148</v>
      </c>
      <c r="B95" s="146"/>
      <c r="C95" s="29" t="s">
        <v>150</v>
      </c>
      <c r="D95" s="56"/>
      <c r="E95" s="126"/>
      <c r="F95" s="114"/>
      <c r="G95" s="57"/>
      <c r="H95" s="114"/>
      <c r="I95" s="27">
        <f t="shared" si="50"/>
        <v>0</v>
      </c>
      <c r="J95" s="27">
        <f t="shared" ref="J95" si="89">D95-F95</f>
        <v>0</v>
      </c>
      <c r="L95" s="13"/>
      <c r="N95" s="13"/>
      <c r="U95" s="13"/>
      <c r="W95" s="13"/>
      <c r="AD95" s="13"/>
      <c r="AF95" s="13"/>
      <c r="AM95" s="13"/>
      <c r="AO95" s="13"/>
      <c r="AV95" s="13"/>
      <c r="AX95" s="13"/>
      <c r="BE95" s="13"/>
      <c r="BG95" s="13"/>
      <c r="BN95" s="13"/>
      <c r="BP95" s="13"/>
      <c r="BW95" s="13"/>
      <c r="BY95" s="13"/>
      <c r="CF95" s="13"/>
      <c r="CH95" s="13"/>
      <c r="CI95" s="13"/>
    </row>
    <row r="96" spans="1:87" ht="24.75" customHeight="1" thickBot="1" x14ac:dyDescent="0.25">
      <c r="A96" s="35" t="s">
        <v>149</v>
      </c>
      <c r="B96" s="147"/>
      <c r="C96" s="29" t="s">
        <v>214</v>
      </c>
      <c r="D96" s="56"/>
      <c r="E96" s="126"/>
      <c r="F96" s="114"/>
      <c r="G96" s="57"/>
      <c r="H96" s="114"/>
      <c r="I96" s="27">
        <f t="shared" si="50"/>
        <v>0</v>
      </c>
      <c r="J96" s="27">
        <f t="shared" si="22"/>
        <v>0</v>
      </c>
      <c r="L96" s="13"/>
      <c r="N96" s="13"/>
      <c r="U96" s="13"/>
      <c r="W96" s="13"/>
      <c r="AD96" s="13"/>
      <c r="AF96" s="13"/>
      <c r="AM96" s="13"/>
      <c r="AO96" s="13"/>
      <c r="AV96" s="13"/>
      <c r="AX96" s="13"/>
      <c r="BE96" s="13"/>
      <c r="BG96" s="13"/>
      <c r="BN96" s="13"/>
      <c r="BP96" s="13"/>
      <c r="BW96" s="13"/>
      <c r="BY96" s="13"/>
      <c r="CF96" s="13"/>
      <c r="CH96" s="13"/>
      <c r="CI96" s="13"/>
    </row>
    <row r="97" spans="1:111" ht="21" customHeight="1" thickBot="1" x14ac:dyDescent="0.3">
      <c r="A97" s="58" t="s">
        <v>36</v>
      </c>
      <c r="B97" s="70"/>
      <c r="C97" s="71" t="s">
        <v>128</v>
      </c>
      <c r="D97" s="72">
        <f>SUM(D94:D96)</f>
        <v>7189260</v>
      </c>
      <c r="E97" s="127">
        <f t="shared" ref="E97:J97" si="90">SUM(E94:E96)</f>
        <v>0</v>
      </c>
      <c r="F97" s="127">
        <f t="shared" si="90"/>
        <v>7189260</v>
      </c>
      <c r="G97" s="72">
        <f t="shared" ref="G97:H97" si="91">SUM(G94:G96)</f>
        <v>0</v>
      </c>
      <c r="H97" s="117">
        <f t="shared" si="91"/>
        <v>7189260</v>
      </c>
      <c r="I97" s="72">
        <f t="shared" ref="I97" si="92">SUM(I94:I96)</f>
        <v>0</v>
      </c>
      <c r="J97" s="72">
        <f t="shared" si="90"/>
        <v>0</v>
      </c>
      <c r="L97" s="13"/>
      <c r="N97" s="13"/>
      <c r="U97" s="13"/>
      <c r="W97" s="13"/>
      <c r="AD97" s="13"/>
      <c r="AF97" s="13"/>
      <c r="AM97" s="13"/>
      <c r="AO97" s="13"/>
      <c r="AV97" s="13"/>
      <c r="AX97" s="13"/>
      <c r="BE97" s="13"/>
      <c r="BG97" s="13"/>
      <c r="BN97" s="13"/>
      <c r="BP97" s="13"/>
      <c r="BW97" s="13"/>
      <c r="BY97" s="13"/>
      <c r="CF97" s="13"/>
      <c r="CH97" s="13"/>
      <c r="CI97" s="13"/>
    </row>
    <row r="98" spans="1:111" ht="24.75" customHeight="1" thickBot="1" x14ac:dyDescent="0.3">
      <c r="A98" s="35" t="s">
        <v>148</v>
      </c>
      <c r="B98" s="93" t="s">
        <v>207</v>
      </c>
      <c r="C98" s="29" t="s">
        <v>160</v>
      </c>
      <c r="D98" s="56">
        <v>336000</v>
      </c>
      <c r="E98" s="126"/>
      <c r="F98" s="114">
        <f>336000</f>
        <v>336000</v>
      </c>
      <c r="G98" s="57"/>
      <c r="H98" s="114">
        <v>336000</v>
      </c>
      <c r="I98" s="27">
        <f t="shared" si="50"/>
        <v>0</v>
      </c>
      <c r="J98" s="27">
        <f t="shared" ref="J98" si="93">D98-F98</f>
        <v>0</v>
      </c>
      <c r="K98" s="124" t="s">
        <v>198</v>
      </c>
      <c r="L98" s="13"/>
      <c r="N98" s="13"/>
      <c r="U98" s="13"/>
      <c r="W98" s="13"/>
      <c r="AD98" s="13"/>
      <c r="AF98" s="13"/>
      <c r="AM98" s="13"/>
      <c r="AO98" s="13"/>
      <c r="AV98" s="13"/>
      <c r="AX98" s="13"/>
      <c r="BE98" s="13"/>
      <c r="BG98" s="13"/>
      <c r="BN98" s="13"/>
      <c r="BP98" s="13"/>
      <c r="BW98" s="13"/>
      <c r="BY98" s="13"/>
      <c r="CF98" s="13"/>
      <c r="CH98" s="13"/>
      <c r="CI98" s="13"/>
    </row>
    <row r="99" spans="1:111" ht="21" customHeight="1" thickBot="1" x14ac:dyDescent="0.3">
      <c r="A99" s="58" t="s">
        <v>36</v>
      </c>
      <c r="B99" s="70"/>
      <c r="C99" s="71" t="s">
        <v>161</v>
      </c>
      <c r="D99" s="72">
        <f>D98</f>
        <v>336000</v>
      </c>
      <c r="E99" s="127">
        <f t="shared" ref="E99:E101" si="94">E98</f>
        <v>0</v>
      </c>
      <c r="F99" s="127">
        <f t="shared" ref="F99:H101" si="95">F98</f>
        <v>336000</v>
      </c>
      <c r="G99" s="72">
        <f t="shared" ref="G99:G101" si="96">G98</f>
        <v>0</v>
      </c>
      <c r="H99" s="117">
        <f t="shared" si="95"/>
        <v>336000</v>
      </c>
      <c r="I99" s="72">
        <f t="shared" ref="I99:J103" si="97">I98</f>
        <v>0</v>
      </c>
      <c r="J99" s="72">
        <f t="shared" si="97"/>
        <v>0</v>
      </c>
      <c r="L99" s="13"/>
      <c r="N99" s="13"/>
      <c r="U99" s="13"/>
      <c r="W99" s="13"/>
      <c r="AD99" s="13"/>
      <c r="AF99" s="13"/>
      <c r="AM99" s="13"/>
      <c r="AO99" s="13"/>
      <c r="AV99" s="13"/>
      <c r="AX99" s="13"/>
      <c r="BE99" s="13"/>
      <c r="BG99" s="13"/>
      <c r="BN99" s="13"/>
      <c r="BP99" s="13"/>
      <c r="BW99" s="13"/>
      <c r="BY99" s="13"/>
      <c r="CF99" s="13"/>
      <c r="CH99" s="13"/>
      <c r="CI99" s="13"/>
    </row>
    <row r="100" spans="1:111" ht="24.75" customHeight="1" thickBot="1" x14ac:dyDescent="0.3">
      <c r="A100" s="35" t="s">
        <v>208</v>
      </c>
      <c r="B100" s="93" t="s">
        <v>209</v>
      </c>
      <c r="C100" s="29" t="s">
        <v>211</v>
      </c>
      <c r="D100" s="56">
        <v>73760.509999999995</v>
      </c>
      <c r="E100" s="126"/>
      <c r="F100" s="114">
        <v>73760.509999999995</v>
      </c>
      <c r="G100" s="57"/>
      <c r="H100" s="114">
        <v>73760.509999999995</v>
      </c>
      <c r="I100" s="27">
        <f t="shared" si="50"/>
        <v>0</v>
      </c>
      <c r="J100" s="27">
        <f t="shared" si="22"/>
        <v>0</v>
      </c>
      <c r="K100" s="124" t="s">
        <v>212</v>
      </c>
      <c r="L100" s="13"/>
      <c r="N100" s="13"/>
      <c r="U100" s="13"/>
      <c r="W100" s="13"/>
      <c r="AD100" s="13"/>
      <c r="AF100" s="13"/>
      <c r="AM100" s="13"/>
      <c r="AO100" s="13"/>
      <c r="AV100" s="13"/>
      <c r="AX100" s="13"/>
      <c r="BE100" s="13"/>
      <c r="BG100" s="13"/>
      <c r="BN100" s="13"/>
      <c r="BP100" s="13"/>
      <c r="BW100" s="13"/>
      <c r="BY100" s="13"/>
      <c r="CF100" s="13"/>
      <c r="CH100" s="13"/>
      <c r="CI100" s="13"/>
    </row>
    <row r="101" spans="1:111" ht="21" customHeight="1" thickBot="1" x14ac:dyDescent="0.3">
      <c r="A101" s="58" t="s">
        <v>36</v>
      </c>
      <c r="B101" s="70"/>
      <c r="C101" s="71" t="s">
        <v>210</v>
      </c>
      <c r="D101" s="72">
        <f>D100</f>
        <v>73760.509999999995</v>
      </c>
      <c r="E101" s="127">
        <f t="shared" si="94"/>
        <v>0</v>
      </c>
      <c r="F101" s="127">
        <f t="shared" si="95"/>
        <v>73760.509999999995</v>
      </c>
      <c r="G101" s="72">
        <f t="shared" si="96"/>
        <v>0</v>
      </c>
      <c r="H101" s="117">
        <f t="shared" si="95"/>
        <v>73760.509999999995</v>
      </c>
      <c r="I101" s="72">
        <f t="shared" si="97"/>
        <v>0</v>
      </c>
      <c r="J101" s="72">
        <f t="shared" si="97"/>
        <v>0</v>
      </c>
      <c r="L101" s="13"/>
      <c r="N101" s="13"/>
      <c r="U101" s="13"/>
      <c r="W101" s="13"/>
      <c r="AD101" s="13"/>
      <c r="AF101" s="13"/>
      <c r="AM101" s="13"/>
      <c r="AO101" s="13"/>
      <c r="AV101" s="13"/>
      <c r="AX101" s="13"/>
      <c r="BE101" s="13"/>
      <c r="BG101" s="13"/>
      <c r="BN101" s="13"/>
      <c r="BP101" s="13"/>
      <c r="BW101" s="13"/>
      <c r="BY101" s="13"/>
      <c r="CF101" s="13"/>
      <c r="CH101" s="13"/>
      <c r="CI101" s="13"/>
    </row>
    <row r="102" spans="1:111" s="13" customFormat="1" ht="28.5" customHeight="1" thickBot="1" x14ac:dyDescent="0.3">
      <c r="A102" s="97" t="s">
        <v>34</v>
      </c>
      <c r="B102" s="93" t="s">
        <v>219</v>
      </c>
      <c r="C102" s="98" t="s">
        <v>124</v>
      </c>
      <c r="D102" s="19">
        <v>285768</v>
      </c>
      <c r="E102" s="120"/>
      <c r="F102" s="120">
        <f>248724+37044</f>
        <v>285768</v>
      </c>
      <c r="G102" s="34"/>
      <c r="H102" s="118">
        <v>285768</v>
      </c>
      <c r="I102" s="27">
        <f t="shared" ref="I102" si="98">F102-H102</f>
        <v>0</v>
      </c>
      <c r="J102" s="27">
        <f t="shared" ref="J102" si="99">D102-F102</f>
        <v>0</v>
      </c>
      <c r="K102" s="103" t="s">
        <v>196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</row>
    <row r="103" spans="1:111" s="13" customFormat="1" ht="17.25" customHeight="1" thickBot="1" x14ac:dyDescent="0.3">
      <c r="A103" s="58" t="s">
        <v>36</v>
      </c>
      <c r="B103" s="62"/>
      <c r="C103" s="60" t="s">
        <v>63</v>
      </c>
      <c r="D103" s="69">
        <f>SUM(D102:D102)</f>
        <v>285768</v>
      </c>
      <c r="E103" s="128">
        <f>SUM(E102:E102)</f>
        <v>0</v>
      </c>
      <c r="F103" s="128">
        <f>SUM(F102:F102)</f>
        <v>285768</v>
      </c>
      <c r="G103" s="69">
        <f>SUM(G102:G102)</f>
        <v>0</v>
      </c>
      <c r="H103" s="119">
        <f>SUM(H102:H102)</f>
        <v>285768</v>
      </c>
      <c r="I103" s="72">
        <f t="shared" si="97"/>
        <v>0</v>
      </c>
      <c r="J103" s="72">
        <f t="shared" si="97"/>
        <v>0</v>
      </c>
      <c r="K103" s="125"/>
    </row>
    <row r="104" spans="1:111" ht="24.6" thickBot="1" x14ac:dyDescent="0.3">
      <c r="A104" s="97" t="s">
        <v>75</v>
      </c>
      <c r="B104" s="95" t="s">
        <v>168</v>
      </c>
      <c r="C104" s="17" t="s">
        <v>137</v>
      </c>
      <c r="D104" s="34">
        <v>723000</v>
      </c>
      <c r="E104" s="120">
        <v>75000</v>
      </c>
      <c r="F104" s="120">
        <f>100000+100000+70000+70000+70000+120000+118000+75000</f>
        <v>723000</v>
      </c>
      <c r="G104" s="34">
        <f>118000+75000</f>
        <v>193000</v>
      </c>
      <c r="H104" s="120">
        <f>100000+100000+50928+89072+70000+120000+118000+75000</f>
        <v>723000</v>
      </c>
      <c r="I104" s="34">
        <f>F104-H104</f>
        <v>0</v>
      </c>
      <c r="J104" s="34">
        <f>D104-F104</f>
        <v>0</v>
      </c>
      <c r="K104" s="104" t="s">
        <v>191</v>
      </c>
      <c r="L104" s="148"/>
      <c r="N104" s="13"/>
      <c r="U104" s="13"/>
      <c r="W104" s="13"/>
      <c r="AD104" s="13"/>
      <c r="AF104" s="13"/>
      <c r="AM104" s="13"/>
      <c r="AO104" s="13"/>
      <c r="AV104" s="13"/>
      <c r="AX104" s="13"/>
      <c r="BE104" s="13"/>
      <c r="BG104" s="13"/>
      <c r="BN104" s="13"/>
      <c r="BP104" s="13"/>
      <c r="BW104" s="13"/>
      <c r="BY104" s="13"/>
      <c r="CF104" s="13"/>
      <c r="CH104" s="13"/>
      <c r="CO104" s="13"/>
      <c r="CQ104" s="13"/>
      <c r="CX104" s="13"/>
      <c r="CZ104" s="13"/>
      <c r="DA104" s="13"/>
    </row>
    <row r="105" spans="1:111" ht="12.6" thickBot="1" x14ac:dyDescent="0.3">
      <c r="A105" s="58" t="s">
        <v>36</v>
      </c>
      <c r="B105" s="70"/>
      <c r="C105" s="60" t="s">
        <v>167</v>
      </c>
      <c r="D105" s="72">
        <f>D104</f>
        <v>723000</v>
      </c>
      <c r="E105" s="127">
        <f t="shared" ref="E105:J105" si="100">E104</f>
        <v>75000</v>
      </c>
      <c r="F105" s="127">
        <f t="shared" si="100"/>
        <v>723000</v>
      </c>
      <c r="G105" s="72">
        <f t="shared" si="100"/>
        <v>193000</v>
      </c>
      <c r="H105" s="117">
        <f t="shared" si="100"/>
        <v>723000</v>
      </c>
      <c r="I105" s="72">
        <f t="shared" si="100"/>
        <v>0</v>
      </c>
      <c r="J105" s="96">
        <f t="shared" si="100"/>
        <v>0</v>
      </c>
      <c r="K105" s="104"/>
      <c r="L105" s="149"/>
      <c r="N105" s="13"/>
      <c r="U105" s="13"/>
      <c r="W105" s="13"/>
      <c r="AD105" s="13"/>
      <c r="AF105" s="13"/>
      <c r="AM105" s="13"/>
      <c r="AO105" s="13"/>
      <c r="AV105" s="13"/>
      <c r="AX105" s="13"/>
      <c r="BE105" s="13"/>
      <c r="BG105" s="13"/>
      <c r="BN105" s="13"/>
      <c r="BP105" s="13"/>
      <c r="BW105" s="13"/>
      <c r="BY105" s="13"/>
      <c r="CF105" s="13"/>
      <c r="CH105" s="13"/>
      <c r="CO105" s="13"/>
      <c r="CQ105" s="13"/>
      <c r="CX105" s="13"/>
      <c r="CZ105" s="13"/>
      <c r="DA105" s="13"/>
    </row>
    <row r="106" spans="1:111" ht="17.25" customHeight="1" thickBot="1" x14ac:dyDescent="0.35">
      <c r="A106" s="58" t="s">
        <v>56</v>
      </c>
      <c r="B106" s="62"/>
      <c r="C106" s="76" t="s">
        <v>57</v>
      </c>
      <c r="D106" s="61">
        <f>D39+D42+D59+D62+D64+D66+D68+D72+D74+D77+D79+D81+D84+D87+D89+D91+D93+D97+D99+D101+D105+D103</f>
        <v>38773079.210000001</v>
      </c>
      <c r="E106" s="61">
        <f>E39+E42+E59+E62+E64+E66+E68+E72+E74+E77+E79+E81+E84+E87+E89+E91+E93+E97+E99+E101+E105+E103</f>
        <v>6415024.8999999994</v>
      </c>
      <c r="F106" s="61">
        <f>F39+F42+F59+F62+F64+F66+F68+F72+F74+F77+F79+F81+F84+F87+F89+F91+F93+F97+F99+F101+F105+F103</f>
        <v>38758210.229999997</v>
      </c>
      <c r="G106" s="61">
        <f>G39+G42+G59+G62+G64+G66+G68+G72+G74+G77+G79+G81+G84+G87+G89+G91+G93+G97+G99+G101+G105+G103</f>
        <v>4133748.6100000003</v>
      </c>
      <c r="H106" s="116">
        <f>H39+H42+H59+H62+H64+H66+H68+H72+H74+H77+H79+H81+H84+H87+H89+H91+H93+H97+H99+H101+H105+H103</f>
        <v>38758210.230000004</v>
      </c>
      <c r="I106" s="61">
        <f t="shared" ref="I106:J106" si="101">I39+I42+I59+I62+I64+I66+I68+I72+I74+I77+I79+I81+I84+I87+I89+I91+I93+I97+I99+I101+I105</f>
        <v>0</v>
      </c>
      <c r="J106" s="61">
        <f t="shared" si="101"/>
        <v>0</v>
      </c>
    </row>
    <row r="107" spans="1:111" ht="20.25" customHeight="1" thickBot="1" x14ac:dyDescent="0.3">
      <c r="A107" s="64" t="s">
        <v>29</v>
      </c>
      <c r="B107" s="65">
        <v>450</v>
      </c>
      <c r="C107" s="66"/>
      <c r="D107" s="67">
        <f t="shared" ref="D107:J107" si="102">-D106</f>
        <v>-38773079.210000001</v>
      </c>
      <c r="E107" s="67">
        <f t="shared" si="102"/>
        <v>-6415024.8999999994</v>
      </c>
      <c r="F107" s="67">
        <f t="shared" si="102"/>
        <v>-38758210.229999997</v>
      </c>
      <c r="G107" s="67">
        <f t="shared" si="102"/>
        <v>-4133748.6100000003</v>
      </c>
      <c r="H107" s="121">
        <f t="shared" si="102"/>
        <v>-38758210.230000004</v>
      </c>
      <c r="I107" s="67">
        <f t="shared" si="102"/>
        <v>0</v>
      </c>
      <c r="J107" s="67">
        <f t="shared" si="102"/>
        <v>0</v>
      </c>
    </row>
    <row r="108" spans="1:111" ht="12" x14ac:dyDescent="0.25">
      <c r="A108" s="31"/>
      <c r="B108" s="52"/>
      <c r="C108" s="32"/>
      <c r="D108" s="83"/>
      <c r="E108" s="33"/>
      <c r="F108" s="50"/>
      <c r="G108" s="50"/>
      <c r="H108" s="122"/>
      <c r="I108" s="50"/>
      <c r="J108" s="50"/>
    </row>
    <row r="109" spans="1:111" x14ac:dyDescent="0.2">
      <c r="A109" s="31"/>
      <c r="B109" s="54"/>
      <c r="C109" s="32"/>
      <c r="D109" s="33"/>
      <c r="F109" s="33"/>
      <c r="G109" s="33"/>
      <c r="H109" s="123"/>
      <c r="I109" s="33"/>
      <c r="J109" s="33"/>
    </row>
    <row r="110" spans="1:111" x14ac:dyDescent="0.2">
      <c r="A110" s="31"/>
      <c r="B110" s="52"/>
      <c r="C110" s="32"/>
      <c r="D110" s="33"/>
      <c r="E110" s="33"/>
      <c r="F110" s="33"/>
      <c r="G110" s="33"/>
      <c r="H110" s="123"/>
      <c r="I110" s="33"/>
      <c r="J110" s="33"/>
    </row>
    <row r="111" spans="1:111" s="13" customFormat="1" ht="12" x14ac:dyDescent="0.25">
      <c r="B111" s="87"/>
      <c r="C111" s="79"/>
      <c r="H111" s="103"/>
      <c r="K111" s="103"/>
    </row>
    <row r="112" spans="1:111" s="13" customFormat="1" x14ac:dyDescent="0.2">
      <c r="B112" s="87"/>
      <c r="H112" s="103"/>
      <c r="K112" s="103"/>
    </row>
    <row r="113" spans="2:11" s="13" customFormat="1" x14ac:dyDescent="0.2">
      <c r="B113" s="87"/>
      <c r="H113" s="103"/>
      <c r="K113" s="103"/>
    </row>
  </sheetData>
  <mergeCells count="8">
    <mergeCell ref="B94:B96"/>
    <mergeCell ref="L104:L105"/>
    <mergeCell ref="B69:B71"/>
    <mergeCell ref="B60:B61"/>
    <mergeCell ref="I3:J4"/>
    <mergeCell ref="B82:B83"/>
    <mergeCell ref="B75:B76"/>
    <mergeCell ref="B85:B86"/>
  </mergeCells>
  <phoneticPr fontId="2" type="noConversion"/>
  <pageMargins left="0.23622047244094491" right="0.23622047244094491" top="0.35433070866141736" bottom="0.19685039370078741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 1</vt:lpstr>
      <vt:lpstr>школа</vt:lpstr>
      <vt:lpstr>школа!Заголовки_для_печати</vt:lpstr>
      <vt:lpstr>'Лист 1'!Область_печати</vt:lpstr>
      <vt:lpstr>школа!Область_печати</vt:lpstr>
    </vt:vector>
  </TitlesOfParts>
  <Company>Colors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Professional</cp:lastModifiedBy>
  <cp:lastPrinted>2022-12-30T06:08:18Z</cp:lastPrinted>
  <dcterms:created xsi:type="dcterms:W3CDTF">2008-08-29T08:07:07Z</dcterms:created>
  <dcterms:modified xsi:type="dcterms:W3CDTF">2023-10-02T10:02:07Z</dcterms:modified>
</cp:coreProperties>
</file>